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tfgmserverteamoutlook.sharepoint.com/sites/str/StrategicPlanning/S4ADesignGuide/WorkingLibrary/"/>
    </mc:Choice>
  </mc:AlternateContent>
  <xr:revisionPtr revIDLastSave="115" documentId="8_{7A3F07C1-EF60-45A1-B484-D05B190B19BE}" xr6:coauthVersionLast="47" xr6:coauthVersionMax="47" xr10:uidLastSave="{3FB4CC52-B89D-4CCF-98E8-D66087CD86D6}"/>
  <bookViews>
    <workbookView xWindow="-110" yWindow="-110" windowWidth="19420" windowHeight="10420" xr2:uid="{60F3EC0A-61CD-4CEA-86B0-2B95A8DEB10E}"/>
  </bookViews>
  <sheets>
    <sheet name="Home" sheetId="1" r:id="rId1"/>
    <sheet name="About" sheetId="2" r:id="rId2"/>
    <sheet name="Project" sheetId="7" r:id="rId3"/>
    <sheet name="Scoring" sheetId="8" r:id="rId4"/>
    <sheet name="Results" sheetId="13" r:id="rId5"/>
    <sheet name="Results (health)" sheetId="20" state="hidden" r:id="rId6"/>
    <sheet name="Results health" sheetId="23" r:id="rId7"/>
    <sheet name="Validation" sheetId="10" state="hidden" r:id="rId8"/>
    <sheet name="GM Street Types" sheetId="24" r:id="rId9"/>
    <sheet name="Results (people)" sheetId="22" state="hidden" r:id="rId10"/>
    <sheet name="How the score is generated" sheetId="11" state="hidden" r:id="rId11"/>
    <sheet name="How the score is generated (H)" sheetId="19" state="hidden" r:id="rId12"/>
    <sheet name="How the score is generated (P)" sheetId="21" state="hidden" r:id="rId13"/>
    <sheet name="Health assumptions" sheetId="18" state="hidden" r:id="rId14"/>
    <sheet name="Scoring (health)" sheetId="17" state="hidden" r:id="rId15"/>
  </sheets>
  <definedNames>
    <definedName name="_xlnm._FilterDatabase" localSheetId="1" hidden="1">About!$B$2:$B$2</definedName>
    <definedName name="_xlnm._FilterDatabase" localSheetId="13" hidden="1">'Health assumptions'!$S$9:$U$14</definedName>
    <definedName name="_xlnm._FilterDatabase" localSheetId="3" hidden="1">Scoring!$B$4:$AN$87</definedName>
    <definedName name="_xlnm._FilterDatabase" localSheetId="14" hidden="1">'Scoring (health)'!$B$4:$AN$88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88" i="17" l="1"/>
  <c r="BU88" i="17"/>
  <c r="P88" i="17"/>
  <c r="O88" i="17"/>
  <c r="N88" i="17"/>
  <c r="D88" i="17"/>
  <c r="BX87" i="17"/>
  <c r="BU87" i="17"/>
  <c r="P87" i="17"/>
  <c r="O87" i="17"/>
  <c r="N87" i="17"/>
  <c r="D87" i="17"/>
  <c r="BX86" i="17"/>
  <c r="BU86" i="17"/>
  <c r="P86" i="17"/>
  <c r="H33" i="20" s="1"/>
  <c r="O86" i="17"/>
  <c r="N86" i="17"/>
  <c r="D86" i="17"/>
  <c r="BX85" i="17"/>
  <c r="BU85" i="17"/>
  <c r="P85" i="17"/>
  <c r="O85" i="17"/>
  <c r="Q85" i="17" s="1"/>
  <c r="N85" i="17"/>
  <c r="D85" i="17"/>
  <c r="BX84" i="17"/>
  <c r="BU84" i="17"/>
  <c r="T84" i="17"/>
  <c r="P84" i="17"/>
  <c r="O84" i="17"/>
  <c r="N84" i="17"/>
  <c r="D84" i="17"/>
  <c r="BX83" i="17"/>
  <c r="BW83" i="17"/>
  <c r="BV83" i="17"/>
  <c r="BX82" i="17"/>
  <c r="BW82" i="17"/>
  <c r="BV82" i="17"/>
  <c r="BX81" i="17"/>
  <c r="BW81" i="17"/>
  <c r="BV81" i="17"/>
  <c r="BX80" i="17"/>
  <c r="BU80" i="17"/>
  <c r="P80" i="17"/>
  <c r="O80" i="17"/>
  <c r="N80" i="17"/>
  <c r="D80" i="17"/>
  <c r="BX79" i="17"/>
  <c r="BU79" i="17"/>
  <c r="Q79" i="17"/>
  <c r="P79" i="17"/>
  <c r="O79" i="17"/>
  <c r="N79" i="17"/>
  <c r="BW79" i="17" s="1"/>
  <c r="D79" i="17"/>
  <c r="BX78" i="17"/>
  <c r="BW78" i="17"/>
  <c r="BV78" i="17"/>
  <c r="BU78" i="17"/>
  <c r="BX77" i="17"/>
  <c r="P77" i="17"/>
  <c r="O77" i="17"/>
  <c r="N77" i="17"/>
  <c r="D77" i="17"/>
  <c r="BX76" i="17"/>
  <c r="BU76" i="17"/>
  <c r="P76" i="17"/>
  <c r="O76" i="17"/>
  <c r="N76" i="17"/>
  <c r="D76" i="17"/>
  <c r="BX75" i="17"/>
  <c r="R75" i="17"/>
  <c r="P75" i="17"/>
  <c r="O75" i="17"/>
  <c r="N75" i="17"/>
  <c r="D75" i="17"/>
  <c r="BX74" i="17"/>
  <c r="P74" i="17"/>
  <c r="O74" i="17"/>
  <c r="N74" i="17"/>
  <c r="D74" i="17"/>
  <c r="BX73" i="17"/>
  <c r="BU73" i="17"/>
  <c r="P73" i="17"/>
  <c r="O73" i="17"/>
  <c r="N73" i="17"/>
  <c r="D73" i="17"/>
  <c r="BX72" i="17"/>
  <c r="P72" i="17"/>
  <c r="O72" i="17"/>
  <c r="N72" i="17"/>
  <c r="D72" i="17"/>
  <c r="BX71" i="17"/>
  <c r="BW71" i="17"/>
  <c r="BV71" i="17"/>
  <c r="BX70" i="17"/>
  <c r="BU70" i="17"/>
  <c r="P70" i="17"/>
  <c r="O70" i="17"/>
  <c r="N70" i="17"/>
  <c r="D70" i="17"/>
  <c r="BX69" i="17"/>
  <c r="BU69" i="17"/>
  <c r="P69" i="17"/>
  <c r="H32" i="20" s="1"/>
  <c r="O69" i="17"/>
  <c r="Q69" i="17" s="1"/>
  <c r="N69" i="17"/>
  <c r="BV69" i="17" s="1"/>
  <c r="D69" i="17"/>
  <c r="BX68" i="17"/>
  <c r="BU68" i="17"/>
  <c r="R68" i="17"/>
  <c r="P68" i="17"/>
  <c r="O68" i="17"/>
  <c r="H24" i="20" s="1"/>
  <c r="N68" i="17"/>
  <c r="D68" i="17"/>
  <c r="BX67" i="17"/>
  <c r="P67" i="17"/>
  <c r="O67" i="17"/>
  <c r="N67" i="17"/>
  <c r="D67" i="17"/>
  <c r="T62" i="17"/>
  <c r="P62" i="17"/>
  <c r="O62" i="17"/>
  <c r="N62" i="17"/>
  <c r="BX61" i="17"/>
  <c r="BU61" i="17"/>
  <c r="P61" i="17"/>
  <c r="O61" i="17"/>
  <c r="N61" i="17"/>
  <c r="D61" i="17"/>
  <c r="BX60" i="17"/>
  <c r="BU60" i="17"/>
  <c r="P60" i="17"/>
  <c r="O60" i="17"/>
  <c r="N60" i="17"/>
  <c r="D60" i="17"/>
  <c r="BX59" i="17"/>
  <c r="BU59" i="17"/>
  <c r="P59" i="17"/>
  <c r="O59" i="17"/>
  <c r="N59" i="17"/>
  <c r="D59" i="17"/>
  <c r="BX58" i="17"/>
  <c r="BU58" i="17"/>
  <c r="P58" i="17"/>
  <c r="O58" i="17"/>
  <c r="N58" i="17"/>
  <c r="D58" i="17"/>
  <c r="BX57" i="17"/>
  <c r="BU57" i="17"/>
  <c r="P57" i="17"/>
  <c r="O57" i="17"/>
  <c r="N57" i="17"/>
  <c r="D57" i="17"/>
  <c r="BX56" i="17"/>
  <c r="BU56" i="17"/>
  <c r="P56" i="17"/>
  <c r="O56" i="17"/>
  <c r="N56" i="17"/>
  <c r="D56" i="17"/>
  <c r="BX55" i="17"/>
  <c r="P55" i="17"/>
  <c r="O55" i="17"/>
  <c r="N55" i="17"/>
  <c r="D55" i="17"/>
  <c r="BX54" i="17"/>
  <c r="P54" i="17"/>
  <c r="O54" i="17"/>
  <c r="N54" i="17"/>
  <c r="BV54" i="17" s="1"/>
  <c r="D54" i="17"/>
  <c r="BX53" i="17"/>
  <c r="T53" i="17"/>
  <c r="P53" i="17"/>
  <c r="O53" i="17"/>
  <c r="N53" i="17"/>
  <c r="D53" i="17"/>
  <c r="BX52" i="17"/>
  <c r="BU52" i="17"/>
  <c r="P52" i="17"/>
  <c r="O52" i="17"/>
  <c r="N52" i="17"/>
  <c r="BV52" i="17" s="1"/>
  <c r="D52" i="17"/>
  <c r="BX51" i="17"/>
  <c r="BU51" i="17"/>
  <c r="P51" i="17"/>
  <c r="H31" i="20" s="1"/>
  <c r="O51" i="17"/>
  <c r="N51" i="17"/>
  <c r="D51" i="17"/>
  <c r="BX47" i="17"/>
  <c r="BU47" i="17"/>
  <c r="P47" i="17"/>
  <c r="O47" i="17"/>
  <c r="N47" i="17"/>
  <c r="BV47" i="17" s="1"/>
  <c r="D47" i="17"/>
  <c r="BX46" i="17"/>
  <c r="BU46" i="17"/>
  <c r="P46" i="17"/>
  <c r="O46" i="17"/>
  <c r="N46" i="17"/>
  <c r="D46" i="17"/>
  <c r="BX45" i="17"/>
  <c r="BU45" i="17"/>
  <c r="P45" i="17"/>
  <c r="O45" i="17"/>
  <c r="Q45" i="17" s="1"/>
  <c r="N45" i="17"/>
  <c r="D45" i="17"/>
  <c r="BX44" i="17"/>
  <c r="BU44" i="17"/>
  <c r="P44" i="17"/>
  <c r="O44" i="17"/>
  <c r="N44" i="17"/>
  <c r="D44" i="17"/>
  <c r="BX43" i="17"/>
  <c r="BU43" i="17"/>
  <c r="P43" i="17"/>
  <c r="BW43" i="17" s="1"/>
  <c r="O43" i="17"/>
  <c r="Q43" i="17" s="1"/>
  <c r="N43" i="17"/>
  <c r="D43" i="17"/>
  <c r="BX42" i="17"/>
  <c r="BU42" i="17"/>
  <c r="P42" i="17"/>
  <c r="O42" i="17"/>
  <c r="N42" i="17"/>
  <c r="D42" i="17"/>
  <c r="BX41" i="17"/>
  <c r="BU41" i="17"/>
  <c r="P41" i="17"/>
  <c r="O41" i="17"/>
  <c r="N41" i="17"/>
  <c r="D41" i="17"/>
  <c r="BX40" i="17"/>
  <c r="BU40" i="17"/>
  <c r="P40" i="17"/>
  <c r="O40" i="17"/>
  <c r="N40" i="17"/>
  <c r="D40" i="17"/>
  <c r="BX39" i="17"/>
  <c r="BU39" i="17"/>
  <c r="P39" i="17"/>
  <c r="O39" i="17"/>
  <c r="N39" i="17"/>
  <c r="D39" i="17"/>
  <c r="BX38" i="17"/>
  <c r="BU38" i="17"/>
  <c r="P38" i="17"/>
  <c r="O38" i="17"/>
  <c r="N38" i="17"/>
  <c r="D38" i="17"/>
  <c r="BX37" i="17"/>
  <c r="BU37" i="17"/>
  <c r="P37" i="17"/>
  <c r="O37" i="17"/>
  <c r="BV37" i="17" s="1"/>
  <c r="N37" i="17"/>
  <c r="D37" i="17"/>
  <c r="BX36" i="17"/>
  <c r="BU36" i="17"/>
  <c r="P36" i="17"/>
  <c r="O36" i="17"/>
  <c r="N36" i="17"/>
  <c r="D36" i="17"/>
  <c r="BX35" i="17"/>
  <c r="BU35" i="17"/>
  <c r="P35" i="17"/>
  <c r="O35" i="17"/>
  <c r="N35" i="17"/>
  <c r="D35" i="17"/>
  <c r="BX31" i="17"/>
  <c r="BU31" i="17"/>
  <c r="T31" i="17"/>
  <c r="S31" i="17"/>
  <c r="R31" i="17"/>
  <c r="P31" i="17"/>
  <c r="BW31" i="17" s="1"/>
  <c r="O31" i="17"/>
  <c r="BV31" i="17" s="1"/>
  <c r="D31" i="17"/>
  <c r="BX30" i="17"/>
  <c r="BU30" i="17"/>
  <c r="R30" i="17"/>
  <c r="P30" i="17"/>
  <c r="O30" i="17"/>
  <c r="N30" i="17"/>
  <c r="D30" i="17"/>
  <c r="BX29" i="17"/>
  <c r="BU29" i="17"/>
  <c r="P29" i="17"/>
  <c r="O29" i="17"/>
  <c r="N29" i="17"/>
  <c r="D29" i="17"/>
  <c r="BX28" i="17"/>
  <c r="BU28" i="17"/>
  <c r="P28" i="17"/>
  <c r="O28" i="17"/>
  <c r="N28" i="17"/>
  <c r="D28" i="17"/>
  <c r="BX27" i="17"/>
  <c r="BU27" i="17"/>
  <c r="S27" i="17"/>
  <c r="P27" i="17"/>
  <c r="F29" i="22" s="1"/>
  <c r="O27" i="17"/>
  <c r="N27" i="17"/>
  <c r="T27" i="17" s="1"/>
  <c r="D27" i="17"/>
  <c r="BX26" i="17"/>
  <c r="BU26" i="17"/>
  <c r="P26" i="17"/>
  <c r="O26" i="17"/>
  <c r="N26" i="17"/>
  <c r="D26" i="17"/>
  <c r="BX25" i="17"/>
  <c r="BU25" i="17"/>
  <c r="S25" i="17"/>
  <c r="R25" i="17"/>
  <c r="P25" i="17"/>
  <c r="BW25" i="17" s="1"/>
  <c r="O25" i="17"/>
  <c r="BV25" i="17" s="1"/>
  <c r="N25" i="17"/>
  <c r="D25" i="17"/>
  <c r="BX21" i="17"/>
  <c r="BU21" i="17"/>
  <c r="P21" i="17"/>
  <c r="O21" i="17"/>
  <c r="N21" i="17"/>
  <c r="D21" i="17"/>
  <c r="BX20" i="17"/>
  <c r="BU20" i="17"/>
  <c r="P20" i="17"/>
  <c r="O20" i="17"/>
  <c r="N20" i="17"/>
  <c r="D20" i="17"/>
  <c r="BX19" i="17"/>
  <c r="BU19" i="17"/>
  <c r="P19" i="17"/>
  <c r="O19" i="17"/>
  <c r="J20" i="22" s="1"/>
  <c r="N19" i="17"/>
  <c r="D19" i="17"/>
  <c r="BX18" i="17"/>
  <c r="BU18" i="17"/>
  <c r="R18" i="17"/>
  <c r="P18" i="17"/>
  <c r="F28" i="22" s="1"/>
  <c r="O18" i="17"/>
  <c r="N18" i="17"/>
  <c r="D18" i="17"/>
  <c r="BX17" i="17"/>
  <c r="BU17" i="17"/>
  <c r="P17" i="17"/>
  <c r="O17" i="17"/>
  <c r="N17" i="17"/>
  <c r="D17" i="17"/>
  <c r="BX16" i="17"/>
  <c r="BU16" i="17"/>
  <c r="P16" i="17"/>
  <c r="O16" i="17"/>
  <c r="N16" i="17"/>
  <c r="D16" i="17"/>
  <c r="BX12" i="17"/>
  <c r="BU12" i="17"/>
  <c r="P12" i="17"/>
  <c r="F27" i="22" s="1"/>
  <c r="O12" i="17"/>
  <c r="N12" i="17"/>
  <c r="BX11" i="17"/>
  <c r="BU11" i="17"/>
  <c r="P11" i="17"/>
  <c r="O11" i="17"/>
  <c r="N11" i="17"/>
  <c r="BX10" i="17"/>
  <c r="BU10" i="17"/>
  <c r="P10" i="17"/>
  <c r="O10" i="17"/>
  <c r="N10" i="17"/>
  <c r="BV10" i="17" s="1"/>
  <c r="BX9" i="17"/>
  <c r="BU9" i="17"/>
  <c r="R9" i="17"/>
  <c r="O9" i="17"/>
  <c r="J19" i="22" s="1"/>
  <c r="N9" i="17"/>
  <c r="BX8" i="17"/>
  <c r="BU8" i="17"/>
  <c r="P8" i="17"/>
  <c r="O8" i="17"/>
  <c r="N8" i="17"/>
  <c r="D90" i="18"/>
  <c r="D89" i="18"/>
  <c r="D88" i="18"/>
  <c r="D87" i="18"/>
  <c r="D86" i="18"/>
  <c r="D82" i="18"/>
  <c r="D81" i="18"/>
  <c r="D79" i="18"/>
  <c r="D78" i="18"/>
  <c r="D77" i="18"/>
  <c r="D76" i="18"/>
  <c r="D75" i="18"/>
  <c r="D74" i="18"/>
  <c r="D72" i="18"/>
  <c r="D71" i="18"/>
  <c r="D70" i="18"/>
  <c r="D69" i="18"/>
  <c r="D63" i="18"/>
  <c r="D62" i="18"/>
  <c r="D61" i="18"/>
  <c r="D60" i="18"/>
  <c r="D59" i="18"/>
  <c r="D58" i="18"/>
  <c r="D57" i="18"/>
  <c r="D56" i="18"/>
  <c r="D55" i="18"/>
  <c r="D54" i="18"/>
  <c r="D53" i="18"/>
  <c r="D49" i="18"/>
  <c r="D48" i="18"/>
  <c r="D47" i="18"/>
  <c r="D46" i="18"/>
  <c r="D45" i="18"/>
  <c r="D44" i="18"/>
  <c r="D43" i="18"/>
  <c r="D42" i="18"/>
  <c r="D41" i="18"/>
  <c r="D40" i="18"/>
  <c r="D39" i="18"/>
  <c r="D38" i="18"/>
  <c r="D37" i="18"/>
  <c r="D33" i="18"/>
  <c r="D32" i="18"/>
  <c r="D31" i="18"/>
  <c r="D30" i="18"/>
  <c r="D29" i="18"/>
  <c r="D28" i="18"/>
  <c r="D27" i="18"/>
  <c r="D23" i="18"/>
  <c r="D22" i="18"/>
  <c r="D21" i="18"/>
  <c r="D20" i="18"/>
  <c r="D19" i="18"/>
  <c r="D18" i="18"/>
  <c r="I74" i="21"/>
  <c r="H74" i="21"/>
  <c r="G74" i="21"/>
  <c r="F74" i="21"/>
  <c r="E74" i="21"/>
  <c r="D74" i="21"/>
  <c r="C74" i="21"/>
  <c r="A73" i="21"/>
  <c r="A72" i="21"/>
  <c r="A71" i="21"/>
  <c r="A70" i="21"/>
  <c r="A69" i="21"/>
  <c r="A67" i="21"/>
  <c r="A66" i="21"/>
  <c r="A64" i="21"/>
  <c r="A63" i="21"/>
  <c r="A62" i="21"/>
  <c r="A61" i="21"/>
  <c r="A60" i="21"/>
  <c r="A59" i="21"/>
  <c r="A57" i="21"/>
  <c r="A56" i="21"/>
  <c r="A55" i="21"/>
  <c r="A54" i="21"/>
  <c r="A51" i="21"/>
  <c r="A50" i="21"/>
  <c r="A49" i="21"/>
  <c r="A48" i="21"/>
  <c r="A47" i="21"/>
  <c r="A46" i="21"/>
  <c r="A45" i="21"/>
  <c r="A44" i="21"/>
  <c r="A43" i="21"/>
  <c r="A42" i="21"/>
  <c r="A41" i="21"/>
  <c r="A39" i="21"/>
  <c r="A38" i="21"/>
  <c r="A37" i="21"/>
  <c r="A36" i="21"/>
  <c r="A35" i="21"/>
  <c r="A34" i="21"/>
  <c r="A33" i="21"/>
  <c r="A32" i="21"/>
  <c r="A31" i="21"/>
  <c r="A30" i="21"/>
  <c r="A29" i="21"/>
  <c r="A28" i="21"/>
  <c r="A27" i="21"/>
  <c r="A25" i="21"/>
  <c r="A24" i="21"/>
  <c r="A23" i="21"/>
  <c r="A22" i="21"/>
  <c r="A21" i="21"/>
  <c r="A20" i="21"/>
  <c r="A19" i="21"/>
  <c r="A17" i="21"/>
  <c r="A16" i="21"/>
  <c r="A15" i="21"/>
  <c r="A14" i="21"/>
  <c r="A13" i="21"/>
  <c r="A12" i="21"/>
  <c r="B10" i="21"/>
  <c r="A10" i="21"/>
  <c r="B9" i="21"/>
  <c r="A9" i="21"/>
  <c r="B8" i="21"/>
  <c r="A8" i="21"/>
  <c r="B7" i="21"/>
  <c r="A7" i="21"/>
  <c r="B6" i="21"/>
  <c r="CB8" i="8" s="1"/>
  <c r="H74" i="19"/>
  <c r="G74" i="19"/>
  <c r="F74" i="19"/>
  <c r="E74" i="19"/>
  <c r="D74" i="19"/>
  <c r="C74" i="19"/>
  <c r="A73" i="19"/>
  <c r="A72" i="19"/>
  <c r="A71" i="19"/>
  <c r="A70" i="19"/>
  <c r="A69" i="19"/>
  <c r="A67" i="19"/>
  <c r="A66" i="19"/>
  <c r="A64" i="19"/>
  <c r="A63" i="19"/>
  <c r="A62" i="19"/>
  <c r="A61" i="19"/>
  <c r="A60" i="19"/>
  <c r="A59" i="19"/>
  <c r="A57" i="19"/>
  <c r="A56" i="19"/>
  <c r="A55" i="19"/>
  <c r="A54" i="19"/>
  <c r="A51" i="19"/>
  <c r="A50" i="19"/>
  <c r="A49" i="19"/>
  <c r="A48" i="19"/>
  <c r="A47" i="19"/>
  <c r="A46" i="19"/>
  <c r="A45" i="19"/>
  <c r="A44" i="19"/>
  <c r="A43" i="19"/>
  <c r="A42" i="19"/>
  <c r="A41" i="19"/>
  <c r="A39" i="19"/>
  <c r="A38" i="19"/>
  <c r="A37" i="19"/>
  <c r="A36" i="19"/>
  <c r="A35" i="19"/>
  <c r="A34" i="19"/>
  <c r="A33" i="19"/>
  <c r="A32" i="19"/>
  <c r="A31" i="19"/>
  <c r="A30" i="19"/>
  <c r="A29" i="19"/>
  <c r="A28" i="19"/>
  <c r="A27" i="19"/>
  <c r="A25" i="19"/>
  <c r="A24" i="19"/>
  <c r="A23" i="19"/>
  <c r="A22" i="19"/>
  <c r="A21" i="19"/>
  <c r="A20" i="19"/>
  <c r="A19" i="19"/>
  <c r="A17" i="19"/>
  <c r="A16" i="19"/>
  <c r="A15" i="19"/>
  <c r="A14" i="19"/>
  <c r="A13" i="19"/>
  <c r="A12" i="19"/>
  <c r="B10" i="19"/>
  <c r="A10" i="19"/>
  <c r="B9" i="19"/>
  <c r="A9" i="19"/>
  <c r="B8" i="19"/>
  <c r="A8" i="19"/>
  <c r="B7" i="19"/>
  <c r="A7" i="19"/>
  <c r="B6" i="19"/>
  <c r="BL8" i="8" s="1"/>
  <c r="I74" i="11"/>
  <c r="H74" i="11"/>
  <c r="G74" i="11"/>
  <c r="F74" i="11"/>
  <c r="E74" i="11"/>
  <c r="D74" i="11"/>
  <c r="C74" i="11"/>
  <c r="A73" i="11"/>
  <c r="A72" i="11"/>
  <c r="A71" i="11"/>
  <c r="A70" i="11"/>
  <c r="A69" i="11"/>
  <c r="A67" i="11"/>
  <c r="A66" i="11"/>
  <c r="A64" i="11"/>
  <c r="A63" i="11"/>
  <c r="A62" i="11"/>
  <c r="A61" i="11"/>
  <c r="A60" i="11"/>
  <c r="A59" i="11"/>
  <c r="A57" i="11"/>
  <c r="A56" i="11"/>
  <c r="A55" i="11"/>
  <c r="A54" i="11"/>
  <c r="A51" i="11"/>
  <c r="A50" i="11"/>
  <c r="A49" i="11"/>
  <c r="A48" i="11"/>
  <c r="A47" i="11"/>
  <c r="A46" i="11"/>
  <c r="A45" i="11"/>
  <c r="A44" i="11"/>
  <c r="A43" i="11"/>
  <c r="A42" i="11"/>
  <c r="A41" i="11"/>
  <c r="A40" i="11"/>
  <c r="A39" i="11"/>
  <c r="A37" i="11"/>
  <c r="A36" i="11"/>
  <c r="A35" i="11"/>
  <c r="A34" i="11"/>
  <c r="A33" i="11"/>
  <c r="A32" i="11"/>
  <c r="A31" i="11"/>
  <c r="A30" i="11"/>
  <c r="A29" i="11"/>
  <c r="A28" i="11"/>
  <c r="A27" i="11"/>
  <c r="A25" i="11"/>
  <c r="A24" i="11"/>
  <c r="A23" i="11"/>
  <c r="A22" i="11"/>
  <c r="A21" i="11"/>
  <c r="A20" i="11"/>
  <c r="A19" i="11"/>
  <c r="A17" i="11"/>
  <c r="A16" i="11"/>
  <c r="A15" i="11"/>
  <c r="A14" i="11"/>
  <c r="A13" i="11"/>
  <c r="A12" i="11"/>
  <c r="B10" i="11"/>
  <c r="A10" i="11"/>
  <c r="B9" i="11"/>
  <c r="A9" i="11"/>
  <c r="B8" i="11"/>
  <c r="A8" i="11"/>
  <c r="B7" i="11"/>
  <c r="A7" i="11"/>
  <c r="B6" i="11"/>
  <c r="AG8" i="8" s="1"/>
  <c r="C41" i="22"/>
  <c r="F40" i="22"/>
  <c r="E33" i="22"/>
  <c r="J32" i="22"/>
  <c r="F32" i="22"/>
  <c r="E32" i="22"/>
  <c r="E29" i="22"/>
  <c r="E28" i="22"/>
  <c r="E27" i="22"/>
  <c r="J25" i="22"/>
  <c r="H25" i="22"/>
  <c r="F25" i="22"/>
  <c r="E25" i="22"/>
  <c r="J24" i="22"/>
  <c r="F24" i="22"/>
  <c r="E24" i="22"/>
  <c r="J23" i="22"/>
  <c r="H23" i="22"/>
  <c r="F23" i="22"/>
  <c r="E23" i="22"/>
  <c r="J22" i="22"/>
  <c r="F22" i="22"/>
  <c r="E21" i="22"/>
  <c r="E20" i="22"/>
  <c r="E19" i="22"/>
  <c r="L5" i="10"/>
  <c r="C39" i="22" s="1"/>
  <c r="L4" i="10"/>
  <c r="C38" i="22" s="1"/>
  <c r="L3" i="10"/>
  <c r="L2" i="10"/>
  <c r="C36" i="20" s="1"/>
  <c r="C41" i="20"/>
  <c r="F40" i="20"/>
  <c r="J33" i="20"/>
  <c r="F33" i="20"/>
  <c r="E33" i="20"/>
  <c r="J32" i="20"/>
  <c r="F32" i="20"/>
  <c r="E32" i="20"/>
  <c r="J31" i="20"/>
  <c r="F31" i="20"/>
  <c r="E31" i="20"/>
  <c r="F30" i="20"/>
  <c r="F29" i="20"/>
  <c r="E29" i="20"/>
  <c r="F28" i="20"/>
  <c r="E28" i="20"/>
  <c r="F27" i="20"/>
  <c r="E27" i="20"/>
  <c r="J25" i="20"/>
  <c r="H25" i="20"/>
  <c r="F25" i="20"/>
  <c r="E25" i="20"/>
  <c r="J24" i="20"/>
  <c r="F24" i="20"/>
  <c r="E24" i="20"/>
  <c r="J23" i="20"/>
  <c r="H23" i="20"/>
  <c r="F23" i="20"/>
  <c r="E23" i="20"/>
  <c r="J22" i="20"/>
  <c r="F22" i="20"/>
  <c r="E22" i="20"/>
  <c r="H21" i="20"/>
  <c r="F21" i="20"/>
  <c r="E21" i="20"/>
  <c r="J20" i="20"/>
  <c r="F20" i="20"/>
  <c r="E20" i="20"/>
  <c r="E19" i="20"/>
  <c r="C33" i="13"/>
  <c r="C32" i="13"/>
  <c r="C31" i="13"/>
  <c r="C30" i="13"/>
  <c r="C29" i="13"/>
  <c r="C28" i="13"/>
  <c r="C27" i="13"/>
  <c r="C25" i="13"/>
  <c r="C24" i="13"/>
  <c r="C23" i="13"/>
  <c r="C22" i="13"/>
  <c r="C21" i="13"/>
  <c r="C20" i="13"/>
  <c r="C19" i="13"/>
  <c r="AX87" i="8"/>
  <c r="N87" i="8"/>
  <c r="M87" i="8"/>
  <c r="BM87" i="8" s="1"/>
  <c r="C87" i="8"/>
  <c r="AX86" i="8"/>
  <c r="N86" i="8"/>
  <c r="M86" i="8"/>
  <c r="C86" i="8"/>
  <c r="AX85" i="8"/>
  <c r="N85" i="8"/>
  <c r="M85" i="8"/>
  <c r="C85" i="8"/>
  <c r="AX84" i="8"/>
  <c r="S84" i="8"/>
  <c r="N84" i="8"/>
  <c r="M84" i="8"/>
  <c r="C84" i="8"/>
  <c r="AX83" i="8"/>
  <c r="N83" i="8"/>
  <c r="M83" i="8"/>
  <c r="BD83" i="8" s="1"/>
  <c r="C83" i="8"/>
  <c r="BA82" i="8"/>
  <c r="AZ82" i="8"/>
  <c r="AY82" i="8"/>
  <c r="BA81" i="8"/>
  <c r="AZ81" i="8"/>
  <c r="AY81" i="8"/>
  <c r="AX79" i="8"/>
  <c r="N79" i="8"/>
  <c r="M79" i="8"/>
  <c r="C79" i="8"/>
  <c r="AX78" i="8"/>
  <c r="N78" i="8"/>
  <c r="M78" i="8"/>
  <c r="C78" i="8"/>
  <c r="BA77" i="8"/>
  <c r="AZ77" i="8"/>
  <c r="AY77" i="8"/>
  <c r="AX77" i="8"/>
  <c r="AY76" i="8"/>
  <c r="S76" i="8"/>
  <c r="N76" i="8"/>
  <c r="M76" i="8"/>
  <c r="T76" i="8" s="1"/>
  <c r="C76" i="8"/>
  <c r="AZ75" i="8"/>
  <c r="AX75" i="8"/>
  <c r="N75" i="8"/>
  <c r="M75" i="8"/>
  <c r="C75" i="8"/>
  <c r="Q74" i="8"/>
  <c r="N74" i="8"/>
  <c r="M74" i="8"/>
  <c r="C74" i="8"/>
  <c r="N73" i="8"/>
  <c r="M73" i="8"/>
  <c r="C73" i="8"/>
  <c r="AX72" i="8"/>
  <c r="N72" i="8"/>
  <c r="M72" i="8"/>
  <c r="C72" i="8"/>
  <c r="N71" i="8"/>
  <c r="M71" i="8"/>
  <c r="C71" i="8"/>
  <c r="AX69" i="8"/>
  <c r="N69" i="8"/>
  <c r="M69" i="8"/>
  <c r="C69" i="8"/>
  <c r="AX68" i="8"/>
  <c r="N68" i="8"/>
  <c r="M68" i="8"/>
  <c r="C68" i="8"/>
  <c r="AX67" i="8"/>
  <c r="N67" i="8"/>
  <c r="M67" i="8"/>
  <c r="C67" i="8"/>
  <c r="N66" i="8"/>
  <c r="M66" i="8"/>
  <c r="C66" i="8"/>
  <c r="CI62" i="8"/>
  <c r="CF62" i="8"/>
  <c r="CC62" i="8"/>
  <c r="BZ62" i="8"/>
  <c r="BW62" i="8"/>
  <c r="BS62" i="8"/>
  <c r="BP62" i="8"/>
  <c r="AX61" i="8"/>
  <c r="N61" i="8"/>
  <c r="M61" i="8"/>
  <c r="AY61" i="8" s="1"/>
  <c r="C61" i="8"/>
  <c r="AX60" i="8"/>
  <c r="N60" i="8"/>
  <c r="M60" i="8"/>
  <c r="C60" i="8"/>
  <c r="AX59" i="8"/>
  <c r="N59" i="8"/>
  <c r="M59" i="8"/>
  <c r="C59" i="8"/>
  <c r="AX58" i="8"/>
  <c r="N58" i="8"/>
  <c r="M58" i="8"/>
  <c r="C58" i="8"/>
  <c r="AX57" i="8"/>
  <c r="N57" i="8"/>
  <c r="M57" i="8"/>
  <c r="S57" i="8" s="1"/>
  <c r="C57" i="8"/>
  <c r="F31" i="13" s="1"/>
  <c r="AX56" i="8"/>
  <c r="N56" i="8"/>
  <c r="M56" i="8"/>
  <c r="C56" i="8"/>
  <c r="N55" i="8"/>
  <c r="M55" i="8"/>
  <c r="C55" i="8"/>
  <c r="N54" i="8"/>
  <c r="M54" i="8"/>
  <c r="AZ54" i="8" s="1"/>
  <c r="C54" i="8"/>
  <c r="N53" i="8"/>
  <c r="M53" i="8"/>
  <c r="AY53" i="8" s="1"/>
  <c r="C53" i="8"/>
  <c r="AX52" i="8"/>
  <c r="N52" i="8"/>
  <c r="M52" i="8"/>
  <c r="C52" i="8"/>
  <c r="AX51" i="8"/>
  <c r="N51" i="8"/>
  <c r="M51" i="8"/>
  <c r="AY51" i="8" s="1"/>
  <c r="C51" i="8"/>
  <c r="AX50" i="8"/>
  <c r="N50" i="8"/>
  <c r="M50" i="8"/>
  <c r="C50" i="8"/>
  <c r="AX49" i="8"/>
  <c r="N49" i="8"/>
  <c r="M49" i="8"/>
  <c r="AZ49" i="8" s="1"/>
  <c r="C49" i="8"/>
  <c r="CF46" i="8"/>
  <c r="CC46" i="8"/>
  <c r="BZ46" i="8"/>
  <c r="BW46" i="8"/>
  <c r="BS46" i="8"/>
  <c r="BP46" i="8"/>
  <c r="AX45" i="8"/>
  <c r="N45" i="8"/>
  <c r="M45" i="8"/>
  <c r="Q45" i="8" s="1"/>
  <c r="C45" i="8"/>
  <c r="AX44" i="8"/>
  <c r="N44" i="8"/>
  <c r="M44" i="8"/>
  <c r="C44" i="8"/>
  <c r="AX43" i="8"/>
  <c r="N43" i="8"/>
  <c r="M43" i="8"/>
  <c r="R43" i="8" s="1"/>
  <c r="C43" i="8"/>
  <c r="AX42" i="8"/>
  <c r="N42" i="8"/>
  <c r="M42" i="8"/>
  <c r="T42" i="8" s="1"/>
  <c r="C42" i="8"/>
  <c r="AX41" i="8"/>
  <c r="N41" i="8"/>
  <c r="M41" i="8"/>
  <c r="C41" i="8"/>
  <c r="AX40" i="8"/>
  <c r="N40" i="8"/>
  <c r="M40" i="8"/>
  <c r="C40" i="8"/>
  <c r="AX39" i="8"/>
  <c r="N39" i="8"/>
  <c r="M39" i="8"/>
  <c r="C39" i="8"/>
  <c r="AX38" i="8"/>
  <c r="N38" i="8"/>
  <c r="M38" i="8"/>
  <c r="C38" i="8"/>
  <c r="AX37" i="8"/>
  <c r="N37" i="8"/>
  <c r="M37" i="8"/>
  <c r="C37" i="8"/>
  <c r="AX36" i="8"/>
  <c r="N36" i="8"/>
  <c r="M36" i="8"/>
  <c r="C36" i="8"/>
  <c r="AX35" i="8"/>
  <c r="N35" i="8"/>
  <c r="M35" i="8"/>
  <c r="T35" i="8" s="1"/>
  <c r="C35" i="8"/>
  <c r="CC32" i="8"/>
  <c r="BZ32" i="8"/>
  <c r="BW32" i="8"/>
  <c r="BS32" i="8"/>
  <c r="BP32" i="8"/>
  <c r="AX31" i="8"/>
  <c r="N31" i="8"/>
  <c r="M31" i="8"/>
  <c r="T31" i="8" s="1"/>
  <c r="C31" i="8"/>
  <c r="AX30" i="8"/>
  <c r="T30" i="8"/>
  <c r="N30" i="8"/>
  <c r="M30" i="8"/>
  <c r="C30" i="8"/>
  <c r="AX29" i="8"/>
  <c r="N29" i="8"/>
  <c r="M29" i="8"/>
  <c r="Q29" i="8" s="1"/>
  <c r="C29" i="8"/>
  <c r="AX28" i="8"/>
  <c r="N28" i="8"/>
  <c r="M28" i="8"/>
  <c r="C28" i="8"/>
  <c r="AX27" i="8"/>
  <c r="N27" i="8"/>
  <c r="M27" i="8"/>
  <c r="C27" i="8"/>
  <c r="AX26" i="8"/>
  <c r="N26" i="8"/>
  <c r="M26" i="8"/>
  <c r="C26" i="8"/>
  <c r="AX25" i="8"/>
  <c r="N25" i="8"/>
  <c r="M25" i="8"/>
  <c r="L25" i="8" a="1"/>
  <c r="L25" i="8" s="1"/>
  <c r="K25" i="8" a="1"/>
  <c r="K25" i="8" s="1"/>
  <c r="J25" i="8" a="1"/>
  <c r="J25" i="8" s="1"/>
  <c r="C25" i="8"/>
  <c r="CI22" i="8"/>
  <c r="CF22" i="8"/>
  <c r="CC22" i="8"/>
  <c r="BZ22" i="8"/>
  <c r="BW22" i="8"/>
  <c r="BS22" i="8"/>
  <c r="BP22" i="8"/>
  <c r="AX21" i="8"/>
  <c r="N21" i="8"/>
  <c r="M21" i="8"/>
  <c r="C21" i="8"/>
  <c r="AX20" i="8"/>
  <c r="N20" i="8"/>
  <c r="M20" i="8"/>
  <c r="C20" i="8"/>
  <c r="AX19" i="8"/>
  <c r="N19" i="8"/>
  <c r="M19" i="8"/>
  <c r="C19" i="8"/>
  <c r="AX18" i="8"/>
  <c r="N18" i="8"/>
  <c r="M18" i="8"/>
  <c r="D18" i="8"/>
  <c r="C18" i="8"/>
  <c r="AX17" i="8"/>
  <c r="N17" i="8"/>
  <c r="M17" i="8"/>
  <c r="D17" i="8"/>
  <c r="C17" i="8"/>
  <c r="BA16" i="8"/>
  <c r="AX16" i="8"/>
  <c r="N16" i="8"/>
  <c r="M16" i="8"/>
  <c r="D16" i="8"/>
  <c r="C16" i="8"/>
  <c r="F28" i="13" s="1"/>
  <c r="BA12" i="8"/>
  <c r="AX12" i="8"/>
  <c r="R12" i="8"/>
  <c r="N12" i="8"/>
  <c r="M12" i="8"/>
  <c r="C12" i="8"/>
  <c r="BA11" i="8"/>
  <c r="AX11" i="8"/>
  <c r="N11" i="8"/>
  <c r="M11" i="8"/>
  <c r="C11" i="8"/>
  <c r="BA10" i="8"/>
  <c r="AX10" i="8"/>
  <c r="N10" i="8"/>
  <c r="M10" i="8"/>
  <c r="S10" i="8" s="1"/>
  <c r="C10" i="8"/>
  <c r="BA9" i="8"/>
  <c r="AX9" i="8"/>
  <c r="N9" i="8"/>
  <c r="M9" i="8"/>
  <c r="C9" i="8"/>
  <c r="BA8" i="8"/>
  <c r="AX8" i="8"/>
  <c r="N8" i="8"/>
  <c r="M8" i="8"/>
  <c r="T8" i="8" s="1"/>
  <c r="C8" i="8"/>
  <c r="J22" i="13" l="1"/>
  <c r="H32" i="13"/>
  <c r="G28" i="13"/>
  <c r="G25" i="13"/>
  <c r="J23" i="13"/>
  <c r="J21" i="13"/>
  <c r="J33" i="13"/>
  <c r="F32" i="13"/>
  <c r="F30" i="13"/>
  <c r="G23" i="13"/>
  <c r="G21" i="13"/>
  <c r="H33" i="13"/>
  <c r="G27" i="13"/>
  <c r="J24" i="13"/>
  <c r="F23" i="13"/>
  <c r="G33" i="13"/>
  <c r="J31" i="13"/>
  <c r="H29" i="13"/>
  <c r="F27" i="13"/>
  <c r="H24" i="13"/>
  <c r="J20" i="13"/>
  <c r="G31" i="13"/>
  <c r="F29" i="13"/>
  <c r="J25" i="13"/>
  <c r="F24" i="13"/>
  <c r="F22" i="13"/>
  <c r="J19" i="13"/>
  <c r="CI84" i="8"/>
  <c r="CL84" i="8"/>
  <c r="AO84" i="8"/>
  <c r="AL84" i="8"/>
  <c r="H25" i="13"/>
  <c r="H31" i="13"/>
  <c r="Q57" i="8"/>
  <c r="G32" i="13"/>
  <c r="H23" i="13"/>
  <c r="G24" i="13"/>
  <c r="G29" i="13"/>
  <c r="J32" i="13"/>
  <c r="BA18" i="8"/>
  <c r="D19" i="8"/>
  <c r="Z85" i="8"/>
  <c r="BP85" i="8"/>
  <c r="AY85" i="8"/>
  <c r="BW86" i="8"/>
  <c r="BG86" i="8"/>
  <c r="T86" i="8"/>
  <c r="CO86" i="8"/>
  <c r="CL86" i="8"/>
  <c r="H21" i="13"/>
  <c r="F25" i="13"/>
  <c r="G30" i="13"/>
  <c r="F33" i="13"/>
  <c r="BA17" i="8"/>
  <c r="H24" i="22"/>
  <c r="H32" i="22"/>
  <c r="B13" i="19"/>
  <c r="H29" i="22"/>
  <c r="B12" i="21"/>
  <c r="CL16" i="8" s="1"/>
  <c r="H29" i="20"/>
  <c r="B12" i="11"/>
  <c r="AD16" i="8" s="1"/>
  <c r="B14" i="19"/>
  <c r="BV30" i="17"/>
  <c r="F31" i="22"/>
  <c r="F33" i="22"/>
  <c r="B13" i="21"/>
  <c r="H31" i="22"/>
  <c r="H33" i="22"/>
  <c r="B13" i="11"/>
  <c r="B15" i="19"/>
  <c r="J31" i="22"/>
  <c r="J33" i="22"/>
  <c r="B14" i="21"/>
  <c r="BW76" i="17"/>
  <c r="J19" i="20"/>
  <c r="L6" i="10"/>
  <c r="B14" i="11"/>
  <c r="B12" i="19"/>
  <c r="BK16" i="8" s="1"/>
  <c r="J21" i="22"/>
  <c r="BV85" i="17"/>
  <c r="F19" i="20"/>
  <c r="J21" i="20"/>
  <c r="F21" i="22"/>
  <c r="H21" i="22"/>
  <c r="BW56" i="17"/>
  <c r="F19" i="22"/>
  <c r="BV45" i="17"/>
  <c r="BV19" i="17"/>
  <c r="BW59" i="17"/>
  <c r="F30" i="22"/>
  <c r="F20" i="22"/>
  <c r="BW72" i="17"/>
  <c r="BW60" i="17"/>
  <c r="CA8" i="8"/>
  <c r="CK9" i="8"/>
  <c r="CN8" i="8"/>
  <c r="BZ8" i="8"/>
  <c r="CE9" i="8"/>
  <c r="CH9" i="8"/>
  <c r="CH8" i="8"/>
  <c r="CA9" i="8"/>
  <c r="CM8" i="8"/>
  <c r="CB9" i="8"/>
  <c r="CD8" i="8"/>
  <c r="CC8" i="8"/>
  <c r="CG8" i="8"/>
  <c r="BR8" i="8"/>
  <c r="CN9" i="8"/>
  <c r="CE8" i="8"/>
  <c r="CG9" i="8"/>
  <c r="BX8" i="8"/>
  <c r="CJ8" i="8"/>
  <c r="CM9" i="8"/>
  <c r="BY8" i="8"/>
  <c r="CK8" i="8"/>
  <c r="BY9" i="8"/>
  <c r="CD9" i="8"/>
  <c r="BX9" i="8"/>
  <c r="CJ9" i="8"/>
  <c r="AE8" i="8"/>
  <c r="AJ8" i="8"/>
  <c r="AK8" i="8"/>
  <c r="AH8" i="8"/>
  <c r="AM8" i="8"/>
  <c r="U8" i="8"/>
  <c r="V8" i="8"/>
  <c r="AN8" i="8"/>
  <c r="AD8" i="8"/>
  <c r="CN12" i="8"/>
  <c r="CI12" i="8"/>
  <c r="BQ8" i="8"/>
  <c r="CN10" i="8"/>
  <c r="CG11" i="8"/>
  <c r="CD12" i="8"/>
  <c r="BQ9" i="8"/>
  <c r="BZ12" i="8"/>
  <c r="BU11" i="8"/>
  <c r="BK8" i="8"/>
  <c r="BQ10" i="8"/>
  <c r="CM10" i="8"/>
  <c r="CE11" i="8"/>
  <c r="BY12" i="8"/>
  <c r="C39" i="20"/>
  <c r="AE10" i="8"/>
  <c r="C39" i="13"/>
  <c r="X9" i="8"/>
  <c r="AM9" i="8"/>
  <c r="AD9" i="8"/>
  <c r="AH10" i="8"/>
  <c r="BU10" i="8"/>
  <c r="BV11" i="8"/>
  <c r="CH11" i="8"/>
  <c r="CE12" i="8"/>
  <c r="AE9" i="8"/>
  <c r="AL10" i="8"/>
  <c r="AJ10" i="8"/>
  <c r="BV10" i="8"/>
  <c r="CI11" i="8"/>
  <c r="BX11" i="8"/>
  <c r="CJ11" i="8"/>
  <c r="CG12" i="8"/>
  <c r="AG10" i="8"/>
  <c r="AG9" i="8"/>
  <c r="CK10" i="8"/>
  <c r="AK10" i="8"/>
  <c r="BX10" i="8"/>
  <c r="BY11" i="8"/>
  <c r="CK11" i="8"/>
  <c r="CH12" i="8"/>
  <c r="Y9" i="8"/>
  <c r="AH9" i="8"/>
  <c r="U10" i="8"/>
  <c r="AM10" i="8"/>
  <c r="BY10" i="8"/>
  <c r="Y11" i="8"/>
  <c r="CA11" i="8"/>
  <c r="CM11" i="8"/>
  <c r="BU12" i="8"/>
  <c r="CJ12" i="8"/>
  <c r="AN9" i="8"/>
  <c r="U9" i="8"/>
  <c r="AJ9" i="8"/>
  <c r="V10" i="8"/>
  <c r="AN10" i="8"/>
  <c r="CA10" i="8"/>
  <c r="AN11" i="8"/>
  <c r="CB11" i="8"/>
  <c r="CN11" i="8"/>
  <c r="BV12" i="8"/>
  <c r="CK12" i="8"/>
  <c r="V9" i="8"/>
  <c r="AK9" i="8"/>
  <c r="AD10" i="8"/>
  <c r="CB10" i="8"/>
  <c r="CD11" i="8"/>
  <c r="BX12" i="8"/>
  <c r="CM12" i="8"/>
  <c r="C36" i="13"/>
  <c r="BF9" i="8"/>
  <c r="BK9" i="8"/>
  <c r="AH11" i="8"/>
  <c r="BL11" i="8"/>
  <c r="AH12" i="8"/>
  <c r="BO12" i="8"/>
  <c r="AD18" i="8"/>
  <c r="C37" i="20"/>
  <c r="C37" i="22"/>
  <c r="C37" i="13"/>
  <c r="BK11" i="8"/>
  <c r="AG12" i="8"/>
  <c r="BL9" i="8"/>
  <c r="AJ11" i="8"/>
  <c r="AJ12" i="8"/>
  <c r="BQ12" i="8"/>
  <c r="BN9" i="8"/>
  <c r="BK10" i="8"/>
  <c r="V11" i="8"/>
  <c r="AK11" i="8"/>
  <c r="BR11" i="8"/>
  <c r="AK12" i="8"/>
  <c r="BR12" i="8"/>
  <c r="BN12" i="8"/>
  <c r="U11" i="8"/>
  <c r="BQ11" i="8"/>
  <c r="BO9" i="8"/>
  <c r="BJ10" i="8"/>
  <c r="BL10" i="8"/>
  <c r="X11" i="8"/>
  <c r="AM11" i="8"/>
  <c r="BR10" i="8"/>
  <c r="AD11" i="8"/>
  <c r="BK12" i="8"/>
  <c r="BI8" i="17"/>
  <c r="BR9" i="8"/>
  <c r="U12" i="8"/>
  <c r="BE9" i="8"/>
  <c r="AE11" i="8"/>
  <c r="V12" i="8"/>
  <c r="BL12" i="8"/>
  <c r="AG11" i="8"/>
  <c r="C38" i="13"/>
  <c r="C40" i="13"/>
  <c r="C40" i="22"/>
  <c r="C40" i="20"/>
  <c r="C38" i="20"/>
  <c r="BG8" i="17"/>
  <c r="C36" i="22"/>
  <c r="AU8" i="17"/>
  <c r="AW8" i="17"/>
  <c r="BC8" i="17"/>
  <c r="AT8" i="17"/>
  <c r="BF8" i="17"/>
  <c r="AT12" i="17"/>
  <c r="AE12" i="17"/>
  <c r="AZ12" i="17"/>
  <c r="AH12" i="17"/>
  <c r="AD12" i="17"/>
  <c r="AD8" i="17"/>
  <c r="AG12" i="17"/>
  <c r="BA12" i="17"/>
  <c r="AE8" i="17"/>
  <c r="AX8" i="17"/>
  <c r="BJ8" i="17"/>
  <c r="AJ12" i="17"/>
  <c r="BC12" i="17"/>
  <c r="AJ8" i="17"/>
  <c r="AZ8" i="17"/>
  <c r="AK12" i="17"/>
  <c r="BD12" i="17"/>
  <c r="BJ12" i="17"/>
  <c r="AU12" i="17"/>
  <c r="BF12" i="17"/>
  <c r="AQ12" i="17"/>
  <c r="AK8" i="17"/>
  <c r="BA8" i="17"/>
  <c r="AM12" i="17"/>
  <c r="BG12" i="17"/>
  <c r="AM8" i="17"/>
  <c r="AM89" i="17" s="1"/>
  <c r="BK12" i="17"/>
  <c r="AN12" i="17"/>
  <c r="BI12" i="17"/>
  <c r="AN8" i="17"/>
  <c r="AN89" i="17" s="1"/>
  <c r="BD8" i="17"/>
  <c r="AR12" i="17"/>
  <c r="Q31" i="17"/>
  <c r="BV26" i="17"/>
  <c r="BW8" i="17"/>
  <c r="CI8" i="8"/>
  <c r="AF12" i="8"/>
  <c r="Z8" i="8"/>
  <c r="T18" i="17"/>
  <c r="T25" i="17"/>
  <c r="Q55" i="17"/>
  <c r="S21" i="17"/>
  <c r="T88" i="17"/>
  <c r="AZ27" i="8"/>
  <c r="R27" i="8"/>
  <c r="Q69" i="8"/>
  <c r="T43" i="17"/>
  <c r="T69" i="17"/>
  <c r="BV87" i="17"/>
  <c r="Q49" i="8"/>
  <c r="S54" i="8"/>
  <c r="S78" i="8"/>
  <c r="BD86" i="8"/>
  <c r="CI86" i="8"/>
  <c r="R46" i="17"/>
  <c r="R29" i="8"/>
  <c r="Q38" i="8"/>
  <c r="Q17" i="8"/>
  <c r="T54" i="8"/>
  <c r="R85" i="8"/>
  <c r="T51" i="8"/>
  <c r="Q76" i="8"/>
  <c r="AZ76" i="8"/>
  <c r="S85" i="8"/>
  <c r="Q86" i="8"/>
  <c r="Q30" i="8"/>
  <c r="AZ31" i="8"/>
  <c r="R76" i="8"/>
  <c r="CL85" i="8"/>
  <c r="S86" i="8"/>
  <c r="AL86" i="8"/>
  <c r="R17" i="8"/>
  <c r="Q21" i="8"/>
  <c r="T38" i="8"/>
  <c r="AY38" i="8"/>
  <c r="AZ79" i="8"/>
  <c r="CF84" i="8"/>
  <c r="BW8" i="8"/>
  <c r="CF8" i="8"/>
  <c r="CO8" i="8"/>
  <c r="T21" i="8"/>
  <c r="Q54" i="8"/>
  <c r="AY69" i="8"/>
  <c r="BJ84" i="8"/>
  <c r="Q85" i="8"/>
  <c r="AF86" i="8"/>
  <c r="BS86" i="8"/>
  <c r="T11" i="17"/>
  <c r="BW18" i="17"/>
  <c r="S20" i="17"/>
  <c r="R38" i="17"/>
  <c r="BV38" i="17"/>
  <c r="BW42" i="17"/>
  <c r="Q47" i="17"/>
  <c r="BV76" i="17"/>
  <c r="R85" i="17"/>
  <c r="Q30" i="17"/>
  <c r="T38" i="17"/>
  <c r="BW38" i="17"/>
  <c r="Q46" i="17"/>
  <c r="BW54" i="17"/>
  <c r="R69" i="17"/>
  <c r="Q76" i="17"/>
  <c r="BV84" i="17"/>
  <c r="T85" i="17"/>
  <c r="BV68" i="17"/>
  <c r="BV75" i="17"/>
  <c r="R76" i="17"/>
  <c r="AZ56" i="8"/>
  <c r="S67" i="8"/>
  <c r="S73" i="8"/>
  <c r="T85" i="8"/>
  <c r="AI85" i="8"/>
  <c r="Q25" i="17"/>
  <c r="T30" i="17"/>
  <c r="T46" i="17"/>
  <c r="Q68" i="17"/>
  <c r="BW75" i="17"/>
  <c r="S76" i="17"/>
  <c r="BW30" i="17"/>
  <c r="AZ17" i="8"/>
  <c r="AY49" i="8"/>
  <c r="Q56" i="8"/>
  <c r="R59" i="8"/>
  <c r="AY59" i="8"/>
  <c r="Q61" i="8"/>
  <c r="T67" i="8"/>
  <c r="BG85" i="8"/>
  <c r="S87" i="8"/>
  <c r="AY54" i="8"/>
  <c r="T56" i="8"/>
  <c r="S59" i="8"/>
  <c r="BJ85" i="8"/>
  <c r="CF85" i="8"/>
  <c r="CO85" i="8"/>
  <c r="S16" i="17"/>
  <c r="Q17" i="17"/>
  <c r="S18" i="17"/>
  <c r="T21" i="17"/>
  <c r="Q62" i="17"/>
  <c r="BV67" i="17"/>
  <c r="T68" i="17"/>
  <c r="BV74" i="17"/>
  <c r="T79" i="17"/>
  <c r="AV12" i="17"/>
  <c r="T16" i="17"/>
  <c r="BW17" i="17"/>
  <c r="R62" i="17"/>
  <c r="AO8" i="8"/>
  <c r="BP8" i="8"/>
  <c r="AC10" i="8"/>
  <c r="T17" i="8"/>
  <c r="R30" i="8"/>
  <c r="S56" i="8"/>
  <c r="R79" i="8"/>
  <c r="AZ83" i="8"/>
  <c r="BG84" i="8"/>
  <c r="BW84" i="8"/>
  <c r="AY84" i="8"/>
  <c r="AI84" i="8"/>
  <c r="R84" i="8"/>
  <c r="BW85" i="8"/>
  <c r="BM85" i="8"/>
  <c r="AZ85" i="8"/>
  <c r="BD85" i="8"/>
  <c r="R86" i="8"/>
  <c r="AY86" i="8"/>
  <c r="CC86" i="8"/>
  <c r="T16" i="8"/>
  <c r="S41" i="8"/>
  <c r="AZ43" i="8"/>
  <c r="S44" i="8"/>
  <c r="T45" i="8"/>
  <c r="S50" i="8"/>
  <c r="AX73" i="8"/>
  <c r="S83" i="8"/>
  <c r="S88" i="8" s="1"/>
  <c r="AF83" i="8"/>
  <c r="AO83" i="8"/>
  <c r="BW83" i="8"/>
  <c r="Q8" i="8"/>
  <c r="BN8" i="8" s="1"/>
  <c r="W12" i="8"/>
  <c r="BS12" i="8"/>
  <c r="R40" i="8"/>
  <c r="AY50" i="8"/>
  <c r="Q55" i="8"/>
  <c r="AY60" i="8"/>
  <c r="Q60" i="8"/>
  <c r="Q73" i="8"/>
  <c r="T74" i="8"/>
  <c r="AZ74" i="8"/>
  <c r="S79" i="8"/>
  <c r="W83" i="8"/>
  <c r="AI83" i="8"/>
  <c r="BP83" i="8"/>
  <c r="AC8" i="8"/>
  <c r="BM8" i="8"/>
  <c r="T50" i="8"/>
  <c r="AZ55" i="8"/>
  <c r="AY55" i="8"/>
  <c r="R66" i="8"/>
  <c r="AZ73" i="8"/>
  <c r="AY73" i="8"/>
  <c r="BM83" i="8"/>
  <c r="R8" i="8"/>
  <c r="AZ8" i="8"/>
  <c r="Z12" i="8"/>
  <c r="BD12" i="8"/>
  <c r="S40" i="8"/>
  <c r="AZ40" i="8"/>
  <c r="AZ50" i="8"/>
  <c r="AZ69" i="8"/>
  <c r="R73" i="8"/>
  <c r="T79" i="8"/>
  <c r="AY79" i="8"/>
  <c r="Z83" i="8"/>
  <c r="T41" i="8"/>
  <c r="CI83" i="8"/>
  <c r="BG83" i="8"/>
  <c r="Q83" i="8"/>
  <c r="BW12" i="8"/>
  <c r="AZ65" i="8"/>
  <c r="Q67" i="8"/>
  <c r="T73" i="8"/>
  <c r="T10" i="8"/>
  <c r="R16" i="8"/>
  <c r="Q28" i="8"/>
  <c r="Q41" i="8"/>
  <c r="AY41" i="8"/>
  <c r="R44" i="8"/>
  <c r="AZ44" i="8"/>
  <c r="Q50" i="8"/>
  <c r="Q51" i="8"/>
  <c r="R58" i="8"/>
  <c r="R69" i="8"/>
  <c r="R83" i="8"/>
  <c r="BJ86" i="8"/>
  <c r="BW19" i="17"/>
  <c r="AY8" i="17"/>
  <c r="Q10" i="17"/>
  <c r="BW10" i="17"/>
  <c r="Q12" i="17"/>
  <c r="U12" i="17" s="1"/>
  <c r="BW21" i="17"/>
  <c r="Q26" i="17"/>
  <c r="Q29" i="17"/>
  <c r="Q39" i="17"/>
  <c r="Q42" i="17"/>
  <c r="BV46" i="17"/>
  <c r="R47" i="17"/>
  <c r="Q51" i="17"/>
  <c r="R55" i="17"/>
  <c r="Q56" i="17"/>
  <c r="T57" i="17"/>
  <c r="Q58" i="17"/>
  <c r="Q60" i="17"/>
  <c r="R72" i="17"/>
  <c r="Q74" i="17"/>
  <c r="BW74" i="17"/>
  <c r="S75" i="17"/>
  <c r="R79" i="17"/>
  <c r="BW84" i="17"/>
  <c r="S85" i="17"/>
  <c r="BV88" i="17"/>
  <c r="R10" i="17"/>
  <c r="R12" i="17"/>
  <c r="AF12" i="17"/>
  <c r="AO12" i="17"/>
  <c r="AY12" i="17"/>
  <c r="BH12" i="17"/>
  <c r="R26" i="17"/>
  <c r="R29" i="17"/>
  <c r="R39" i="17"/>
  <c r="R42" i="17"/>
  <c r="BW46" i="17"/>
  <c r="S47" i="17"/>
  <c r="R51" i="17"/>
  <c r="S55" i="17"/>
  <c r="BU55" i="17" s="1"/>
  <c r="BV55" i="17"/>
  <c r="R56" i="17"/>
  <c r="R60" i="17"/>
  <c r="S72" i="17"/>
  <c r="S79" i="17"/>
  <c r="BW88" i="17"/>
  <c r="R8" i="17"/>
  <c r="S10" i="17"/>
  <c r="S12" i="17"/>
  <c r="Q19" i="17"/>
  <c r="S26" i="17"/>
  <c r="S29" i="17"/>
  <c r="Q35" i="17"/>
  <c r="T39" i="17"/>
  <c r="BV41" i="17"/>
  <c r="T42" i="17"/>
  <c r="T47" i="17"/>
  <c r="BW47" i="17"/>
  <c r="S51" i="17"/>
  <c r="Q52" i="17"/>
  <c r="BW55" i="17"/>
  <c r="S56" i="17"/>
  <c r="S60" i="17"/>
  <c r="Q61" i="17"/>
  <c r="T72" i="17"/>
  <c r="BV72" i="17"/>
  <c r="T8" i="17"/>
  <c r="AS8" i="17"/>
  <c r="BV9" i="17"/>
  <c r="T10" i="17"/>
  <c r="T12" i="17"/>
  <c r="Q18" i="17"/>
  <c r="S19" i="17"/>
  <c r="T26" i="17"/>
  <c r="BW26" i="17"/>
  <c r="T29" i="17"/>
  <c r="R35" i="17"/>
  <c r="Q38" i="17"/>
  <c r="BV51" i="17"/>
  <c r="R52" i="17"/>
  <c r="Q54" i="17"/>
  <c r="T56" i="17"/>
  <c r="T60" i="17"/>
  <c r="R61" i="17"/>
  <c r="BW69" i="17"/>
  <c r="Z8" i="17"/>
  <c r="W12" i="17"/>
  <c r="AI12" i="17"/>
  <c r="AS12" i="17"/>
  <c r="T19" i="17"/>
  <c r="T35" i="17"/>
  <c r="BW39" i="17"/>
  <c r="BW51" i="17"/>
  <c r="S52" i="17"/>
  <c r="BV60" i="17"/>
  <c r="BV79" i="17"/>
  <c r="BV12" i="17"/>
  <c r="BV29" i="17"/>
  <c r="T52" i="17"/>
  <c r="Q84" i="17"/>
  <c r="BW85" i="17"/>
  <c r="Q88" i="17"/>
  <c r="E31" i="22"/>
  <c r="Z12" i="17"/>
  <c r="BE12" i="17"/>
  <c r="BW12" i="17"/>
  <c r="BW29" i="17"/>
  <c r="S30" i="17"/>
  <c r="BW35" i="17"/>
  <c r="BV42" i="17"/>
  <c r="R43" i="17"/>
  <c r="BW45" i="17"/>
  <c r="S46" i="17"/>
  <c r="BW52" i="17"/>
  <c r="BW68" i="17"/>
  <c r="S69" i="17"/>
  <c r="Q75" i="17"/>
  <c r="T76" i="17"/>
  <c r="R84" i="17"/>
  <c r="R88" i="17"/>
  <c r="CL9" i="8"/>
  <c r="BM9" i="8"/>
  <c r="AO9" i="8"/>
  <c r="Q9" i="8"/>
  <c r="CC9" i="8"/>
  <c r="BD9" i="8"/>
  <c r="AF9" i="8"/>
  <c r="AZ10" i="8"/>
  <c r="F20" i="13"/>
  <c r="AZ18" i="8"/>
  <c r="BP9" i="8"/>
  <c r="F19" i="13"/>
  <c r="BW10" i="8"/>
  <c r="Z10" i="8"/>
  <c r="R10" i="8"/>
  <c r="CL10" i="8"/>
  <c r="BM10" i="8"/>
  <c r="AO10" i="8"/>
  <c r="Q10" i="8"/>
  <c r="AI10" i="8"/>
  <c r="CF10" i="8"/>
  <c r="CO10" i="8"/>
  <c r="W11" i="8"/>
  <c r="BS11" i="8"/>
  <c r="S8" i="8"/>
  <c r="AA8" i="8"/>
  <c r="AI8" i="8"/>
  <c r="AY8" i="8"/>
  <c r="BG8" i="8"/>
  <c r="W9" i="8"/>
  <c r="BZ9" i="8"/>
  <c r="CI9" i="8"/>
  <c r="AB10" i="8"/>
  <c r="AZ11" i="8"/>
  <c r="BJ11" i="8"/>
  <c r="Q16" i="8"/>
  <c r="BG9" i="8"/>
  <c r="CH10" i="8"/>
  <c r="CO11" i="8"/>
  <c r="AY18" i="8"/>
  <c r="S18" i="8"/>
  <c r="AY20" i="8"/>
  <c r="S20" i="8"/>
  <c r="R20" i="8"/>
  <c r="AY9" i="8"/>
  <c r="AY19" i="8"/>
  <c r="S19" i="8"/>
  <c r="R19" i="8"/>
  <c r="AL8" i="8"/>
  <c r="BJ8" i="8"/>
  <c r="R9" i="8"/>
  <c r="Z9" i="8"/>
  <c r="AI9" i="8"/>
  <c r="AZ9" i="8"/>
  <c r="BD10" i="8"/>
  <c r="BP10" i="8"/>
  <c r="BZ10" i="8"/>
  <c r="Q11" i="8"/>
  <c r="AC11" i="8"/>
  <c r="AL11" i="8"/>
  <c r="BM11" i="8"/>
  <c r="CO12" i="8"/>
  <c r="BP12" i="8"/>
  <c r="AZ12" i="8"/>
  <c r="T12" i="8"/>
  <c r="CF12" i="8"/>
  <c r="BG12" i="8"/>
  <c r="AY12" i="8"/>
  <c r="AI12" i="8"/>
  <c r="S12" i="8"/>
  <c r="CL12" i="8"/>
  <c r="BM12" i="8"/>
  <c r="AO12" i="8"/>
  <c r="Q12" i="8"/>
  <c r="AC12" i="8"/>
  <c r="AL12" i="8"/>
  <c r="CJ17" i="8"/>
  <c r="Q18" i="8"/>
  <c r="Q20" i="8"/>
  <c r="CF11" i="8"/>
  <c r="BG11" i="8"/>
  <c r="AY11" i="8"/>
  <c r="AI11" i="8"/>
  <c r="S11" i="8"/>
  <c r="BW11" i="8"/>
  <c r="Z11" i="8"/>
  <c r="R11" i="8"/>
  <c r="CC11" i="8"/>
  <c r="BC10" i="8"/>
  <c r="CL8" i="8"/>
  <c r="S9" i="8"/>
  <c r="BJ9" i="8"/>
  <c r="BS9" i="8"/>
  <c r="AF10" i="8"/>
  <c r="BG10" i="8"/>
  <c r="T11" i="8"/>
  <c r="BD11" i="8"/>
  <c r="BP11" i="8"/>
  <c r="BZ11" i="8"/>
  <c r="R18" i="8"/>
  <c r="Q19" i="8"/>
  <c r="T20" i="8"/>
  <c r="AZ25" i="8"/>
  <c r="T25" i="8"/>
  <c r="AY25" i="8"/>
  <c r="S25" i="8"/>
  <c r="R25" i="8"/>
  <c r="Q25" i="8"/>
  <c r="CE10" i="8"/>
  <c r="BF10" i="8"/>
  <c r="Y10" i="8"/>
  <c r="BO10" i="8"/>
  <c r="CI10" i="8"/>
  <c r="W8" i="8"/>
  <c r="BS8" i="8"/>
  <c r="AF8" i="8"/>
  <c r="BD8" i="8"/>
  <c r="T9" i="8"/>
  <c r="BW9" i="8"/>
  <c r="CF9" i="8"/>
  <c r="CO9" i="8"/>
  <c r="W10" i="8"/>
  <c r="BJ12" i="8"/>
  <c r="CC12" i="8"/>
  <c r="CF17" i="8"/>
  <c r="AY17" i="8"/>
  <c r="S17" i="8"/>
  <c r="CC17" i="8"/>
  <c r="CM17" i="8"/>
  <c r="T18" i="8"/>
  <c r="T19" i="8"/>
  <c r="AZ20" i="8"/>
  <c r="BE8" i="8"/>
  <c r="AC9" i="8"/>
  <c r="AL9" i="8"/>
  <c r="AY10" i="8"/>
  <c r="BI10" i="8"/>
  <c r="BS10" i="8"/>
  <c r="CC10" i="8"/>
  <c r="AF11" i="8"/>
  <c r="AO11" i="8"/>
  <c r="CL11" i="8"/>
  <c r="CI16" i="8"/>
  <c r="CF16" i="8"/>
  <c r="AY16" i="8"/>
  <c r="S16" i="8"/>
  <c r="CC16" i="8"/>
  <c r="AZ16" i="8"/>
  <c r="AZ19" i="8"/>
  <c r="AZ35" i="8"/>
  <c r="AY27" i="8"/>
  <c r="AY29" i="8"/>
  <c r="S29" i="8"/>
  <c r="AZ29" i="8"/>
  <c r="Q36" i="8"/>
  <c r="R39" i="8"/>
  <c r="S42" i="8"/>
  <c r="AZ42" i="8"/>
  <c r="R42" i="8"/>
  <c r="AY42" i="8"/>
  <c r="Q42" i="8"/>
  <c r="R21" i="8"/>
  <c r="AY28" i="8"/>
  <c r="S28" i="8"/>
  <c r="AZ28" i="8"/>
  <c r="T36" i="8"/>
  <c r="S37" i="8"/>
  <c r="AZ37" i="8"/>
  <c r="R37" i="8"/>
  <c r="S21" i="8"/>
  <c r="AY21" i="8"/>
  <c r="Q26" i="8"/>
  <c r="Q27" i="8"/>
  <c r="AY31" i="8"/>
  <c r="S31" i="8"/>
  <c r="AY36" i="8"/>
  <c r="R26" i="8"/>
  <c r="AY35" i="8"/>
  <c r="S35" i="8"/>
  <c r="R35" i="8"/>
  <c r="Q37" i="8"/>
  <c r="AZ39" i="8"/>
  <c r="S26" i="8"/>
  <c r="AY26" i="8"/>
  <c r="S27" i="8"/>
  <c r="R28" i="8"/>
  <c r="T29" i="8"/>
  <c r="Q31" i="8"/>
  <c r="T37" i="8"/>
  <c r="S38" i="8"/>
  <c r="AZ38" i="8"/>
  <c r="R38" i="8"/>
  <c r="T26" i="8"/>
  <c r="AZ26" i="8"/>
  <c r="T27" i="8"/>
  <c r="T28" i="8"/>
  <c r="AY30" i="8"/>
  <c r="S30" i="8"/>
  <c r="AZ30" i="8"/>
  <c r="R31" i="8"/>
  <c r="Q35" i="8"/>
  <c r="AY37" i="8"/>
  <c r="S36" i="8"/>
  <c r="AZ36" i="8"/>
  <c r="R36" i="8"/>
  <c r="H30" i="13"/>
  <c r="T39" i="8"/>
  <c r="S39" i="8"/>
  <c r="AY39" i="8"/>
  <c r="Q39" i="8"/>
  <c r="R53" i="8"/>
  <c r="S53" i="8"/>
  <c r="Q53" i="8"/>
  <c r="AZ53" i="8"/>
  <c r="S71" i="8"/>
  <c r="AY71" i="8"/>
  <c r="AZ71" i="8"/>
  <c r="T71" i="8"/>
  <c r="R71" i="8"/>
  <c r="Q71" i="8"/>
  <c r="T72" i="8"/>
  <c r="R72" i="8"/>
  <c r="AY72" i="8"/>
  <c r="S72" i="8"/>
  <c r="Q72" i="8"/>
  <c r="AY45" i="8"/>
  <c r="S45" i="8"/>
  <c r="AZ45" i="8"/>
  <c r="R49" i="8"/>
  <c r="S49" i="8"/>
  <c r="AY68" i="8"/>
  <c r="AZ72" i="8"/>
  <c r="Q43" i="8"/>
  <c r="AY43" i="8"/>
  <c r="T53" i="8"/>
  <c r="R52" i="8"/>
  <c r="Q52" i="8"/>
  <c r="AZ52" i="8"/>
  <c r="Q68" i="8"/>
  <c r="S68" i="8"/>
  <c r="T68" i="8"/>
  <c r="AZ68" i="8"/>
  <c r="R68" i="8"/>
  <c r="Q40" i="8"/>
  <c r="AY40" i="8"/>
  <c r="S43" i="8"/>
  <c r="Q44" i="8"/>
  <c r="AY44" i="8"/>
  <c r="R45" i="8"/>
  <c r="T49" i="8"/>
  <c r="R51" i="8"/>
  <c r="S51" i="8"/>
  <c r="AZ51" i="8"/>
  <c r="T43" i="8"/>
  <c r="S52" i="8"/>
  <c r="AY52" i="8"/>
  <c r="T52" i="8"/>
  <c r="T40" i="8"/>
  <c r="R41" i="8"/>
  <c r="AZ41" i="8"/>
  <c r="T44" i="8"/>
  <c r="AX54" i="8"/>
  <c r="R75" i="8"/>
  <c r="BZ87" i="8"/>
  <c r="AC87" i="8"/>
  <c r="BJ87" i="8"/>
  <c r="AL87" i="8"/>
  <c r="CI87" i="8"/>
  <c r="BP87" i="8"/>
  <c r="BG87" i="8"/>
  <c r="CC87" i="8"/>
  <c r="BS87" i="8"/>
  <c r="AY87" i="8"/>
  <c r="CL87" i="8"/>
  <c r="AO87" i="8"/>
  <c r="AF87" i="8"/>
  <c r="W87" i="8"/>
  <c r="AI87" i="8"/>
  <c r="R50" i="8"/>
  <c r="R54" i="8"/>
  <c r="R56" i="8"/>
  <c r="AY56" i="8"/>
  <c r="AZ57" i="8"/>
  <c r="T57" i="8"/>
  <c r="AY57" i="8"/>
  <c r="R57" i="8"/>
  <c r="S61" i="8"/>
  <c r="AY66" i="8"/>
  <c r="Q75" i="8"/>
  <c r="T78" i="8"/>
  <c r="T84" i="8"/>
  <c r="Z87" i="8"/>
  <c r="BD87" i="8"/>
  <c r="CO87" i="8"/>
  <c r="R55" i="8"/>
  <c r="AZ60" i="8"/>
  <c r="T60" i="8"/>
  <c r="AZ66" i="8"/>
  <c r="S66" i="8"/>
  <c r="AY65" i="8"/>
  <c r="Q66" i="8"/>
  <c r="S75" i="8"/>
  <c r="AX76" i="8"/>
  <c r="Q87" i="8"/>
  <c r="T75" i="8"/>
  <c r="AY75" i="8"/>
  <c r="R87" i="8"/>
  <c r="S55" i="8"/>
  <c r="R60" i="8"/>
  <c r="T66" i="8"/>
  <c r="AY74" i="8"/>
  <c r="R74" i="8"/>
  <c r="S74" i="8"/>
  <c r="AZ78" i="8"/>
  <c r="BZ84" i="8"/>
  <c r="AC84" i="8"/>
  <c r="Q84" i="8"/>
  <c r="BD84" i="8"/>
  <c r="AF84" i="8"/>
  <c r="BS84" i="8"/>
  <c r="W84" i="8"/>
  <c r="CC84" i="8"/>
  <c r="Z84" i="8"/>
  <c r="AZ84" i="8"/>
  <c r="BM84" i="8"/>
  <c r="CO84" i="8"/>
  <c r="T87" i="8"/>
  <c r="CF87" i="8"/>
  <c r="T55" i="8"/>
  <c r="AZ58" i="8"/>
  <c r="T58" i="8"/>
  <c r="S58" i="8"/>
  <c r="Q58" i="8"/>
  <c r="AY58" i="8"/>
  <c r="S60" i="8"/>
  <c r="AZ61" i="8"/>
  <c r="T61" i="8"/>
  <c r="R61" i="8"/>
  <c r="Q78" i="8"/>
  <c r="AY78" i="8"/>
  <c r="R78" i="8"/>
  <c r="BP84" i="8"/>
  <c r="AZ87" i="8"/>
  <c r="BW87" i="8"/>
  <c r="AZ59" i="8"/>
  <c r="T59" i="8"/>
  <c r="T69" i="8"/>
  <c r="S69" i="8"/>
  <c r="BZ83" i="8"/>
  <c r="AC83" i="8"/>
  <c r="CL83" i="8"/>
  <c r="CC83" i="8"/>
  <c r="BS83" i="8"/>
  <c r="AL83" i="8"/>
  <c r="CF83" i="8"/>
  <c r="T83" i="8"/>
  <c r="T88" i="8" s="1"/>
  <c r="AY83" i="8"/>
  <c r="BJ83" i="8"/>
  <c r="CO83" i="8"/>
  <c r="BZ86" i="8"/>
  <c r="AC86" i="8"/>
  <c r="BP86" i="8"/>
  <c r="AO86" i="8"/>
  <c r="W86" i="8"/>
  <c r="Z86" i="8"/>
  <c r="AI86" i="8"/>
  <c r="AZ86" i="8"/>
  <c r="CF86" i="8"/>
  <c r="Q59" i="8"/>
  <c r="AZ67" i="8"/>
  <c r="R67" i="8"/>
  <c r="AY67" i="8"/>
  <c r="BM86" i="8"/>
  <c r="Q79" i="8"/>
  <c r="BZ85" i="8"/>
  <c r="AC85" i="8"/>
  <c r="CC85" i="8"/>
  <c r="BS85" i="8"/>
  <c r="AL85" i="8"/>
  <c r="W85" i="8"/>
  <c r="AF85" i="8"/>
  <c r="AO85" i="8"/>
  <c r="CI85" i="8"/>
  <c r="T44" i="17"/>
  <c r="S44" i="17"/>
  <c r="R44" i="17"/>
  <c r="Q44" i="17"/>
  <c r="BV44" i="17"/>
  <c r="S8" i="17"/>
  <c r="AI8" i="17"/>
  <c r="BH8" i="17"/>
  <c r="X12" i="17"/>
  <c r="AW12" i="17"/>
  <c r="BV18" i="17"/>
  <c r="R19" i="17"/>
  <c r="T20" i="17"/>
  <c r="Q21" i="17"/>
  <c r="J28" i="20" s="1"/>
  <c r="T28" i="17"/>
  <c r="T32" i="17" s="1"/>
  <c r="R28" i="17"/>
  <c r="S36" i="17"/>
  <c r="R36" i="17"/>
  <c r="BW36" i="17"/>
  <c r="Q36" i="17"/>
  <c r="BV36" i="17"/>
  <c r="E30" i="20"/>
  <c r="AC8" i="17"/>
  <c r="BB8" i="17"/>
  <c r="Q9" i="17"/>
  <c r="BW9" i="17"/>
  <c r="BV17" i="17"/>
  <c r="BV20" i="17"/>
  <c r="BW20" i="17"/>
  <c r="T40" i="17"/>
  <c r="S40" i="17"/>
  <c r="R40" i="17"/>
  <c r="BW40" i="17"/>
  <c r="Q40" i="17"/>
  <c r="BV40" i="17"/>
  <c r="E22" i="22"/>
  <c r="AL8" i="17"/>
  <c r="BK8" i="17"/>
  <c r="BV11" i="17"/>
  <c r="AA12" i="17"/>
  <c r="R27" i="17"/>
  <c r="R32" i="17" s="1"/>
  <c r="BV27" i="17"/>
  <c r="E30" i="22"/>
  <c r="W8" i="17"/>
  <c r="AV8" i="17"/>
  <c r="S9" i="17"/>
  <c r="Q11" i="17"/>
  <c r="H19" i="22" s="1"/>
  <c r="BW11" i="17"/>
  <c r="AB12" i="17"/>
  <c r="BV16" i="17"/>
  <c r="R17" i="17"/>
  <c r="Q28" i="17"/>
  <c r="T36" i="17"/>
  <c r="AF8" i="17"/>
  <c r="BE8" i="17"/>
  <c r="BV8" i="17"/>
  <c r="T9" i="17"/>
  <c r="T13" i="17" s="1"/>
  <c r="R11" i="17"/>
  <c r="AC12" i="17"/>
  <c r="BB12" i="17"/>
  <c r="Q16" i="17"/>
  <c r="BW16" i="17"/>
  <c r="S17" i="17"/>
  <c r="Q20" i="17"/>
  <c r="R21" i="17"/>
  <c r="BV21" i="17"/>
  <c r="S28" i="17"/>
  <c r="BV28" i="17"/>
  <c r="Q8" i="17"/>
  <c r="AO8" i="17"/>
  <c r="AO89" i="17" s="1"/>
  <c r="S11" i="17"/>
  <c r="AL12" i="17"/>
  <c r="R16" i="17"/>
  <c r="T17" i="17"/>
  <c r="R20" i="17"/>
  <c r="Q27" i="17"/>
  <c r="BW27" i="17"/>
  <c r="BW28" i="17"/>
  <c r="Q37" i="17"/>
  <c r="BW37" i="17"/>
  <c r="S38" i="17"/>
  <c r="Q41" i="17"/>
  <c r="BW41" i="17"/>
  <c r="S42" i="17"/>
  <c r="R45" i="17"/>
  <c r="T51" i="17"/>
  <c r="BV53" i="17"/>
  <c r="R54" i="17"/>
  <c r="T55" i="17"/>
  <c r="BV57" i="17"/>
  <c r="S58" i="17"/>
  <c r="Q59" i="17"/>
  <c r="R37" i="17"/>
  <c r="R41" i="17"/>
  <c r="BW44" i="17"/>
  <c r="S45" i="17"/>
  <c r="Q53" i="17"/>
  <c r="BW53" i="17"/>
  <c r="S54" i="17"/>
  <c r="BU54" i="17" s="1"/>
  <c r="Q57" i="17"/>
  <c r="BW57" i="17"/>
  <c r="T58" i="17"/>
  <c r="BV58" i="17"/>
  <c r="R59" i="17"/>
  <c r="S61" i="17"/>
  <c r="BW61" i="17"/>
  <c r="BV61" i="17"/>
  <c r="S37" i="17"/>
  <c r="S41" i="17"/>
  <c r="T45" i="17"/>
  <c r="R53" i="17"/>
  <c r="T54" i="17"/>
  <c r="BV56" i="17"/>
  <c r="R57" i="17"/>
  <c r="BW58" i="17"/>
  <c r="S59" i="17"/>
  <c r="BV35" i="17"/>
  <c r="T37" i="17"/>
  <c r="BV39" i="17"/>
  <c r="T41" i="17"/>
  <c r="BV43" i="17"/>
  <c r="S53" i="17"/>
  <c r="BU53" i="17" s="1"/>
  <c r="S57" i="17"/>
  <c r="BV59" i="17"/>
  <c r="T86" i="17"/>
  <c r="S86" i="17"/>
  <c r="R86" i="17"/>
  <c r="BW86" i="17"/>
  <c r="Q86" i="17"/>
  <c r="BV86" i="17"/>
  <c r="R58" i="17"/>
  <c r="T59" i="17"/>
  <c r="S35" i="17"/>
  <c r="S39" i="17"/>
  <c r="S43" i="17"/>
  <c r="T61" i="17"/>
  <c r="T67" i="17"/>
  <c r="BW66" i="17"/>
  <c r="S67" i="17"/>
  <c r="BV66" i="17"/>
  <c r="R67" i="17"/>
  <c r="BW67" i="17"/>
  <c r="Q67" i="17"/>
  <c r="T70" i="17"/>
  <c r="S70" i="17"/>
  <c r="R70" i="17"/>
  <c r="BW70" i="17"/>
  <c r="Q70" i="17"/>
  <c r="BV70" i="17"/>
  <c r="S62" i="17"/>
  <c r="S68" i="17"/>
  <c r="BV73" i="17"/>
  <c r="R74" i="17"/>
  <c r="T75" i="17"/>
  <c r="BV77" i="17"/>
  <c r="BV80" i="17"/>
  <c r="S84" i="17"/>
  <c r="Q87" i="17"/>
  <c r="BW87" i="17"/>
  <c r="S88" i="17"/>
  <c r="BU72" i="17"/>
  <c r="Q73" i="17"/>
  <c r="BW73" i="17"/>
  <c r="S74" i="17"/>
  <c r="Q77" i="17"/>
  <c r="BW77" i="17"/>
  <c r="Q80" i="17"/>
  <c r="BW80" i="17"/>
  <c r="R87" i="17"/>
  <c r="R73" i="17"/>
  <c r="T74" i="17"/>
  <c r="R77" i="17"/>
  <c r="R80" i="17"/>
  <c r="S87" i="17"/>
  <c r="Q72" i="17"/>
  <c r="S73" i="17"/>
  <c r="S77" i="17"/>
  <c r="BU77" i="17" s="1"/>
  <c r="S80" i="17"/>
  <c r="T87" i="17"/>
  <c r="T73" i="17"/>
  <c r="T77" i="17"/>
  <c r="T80" i="17"/>
  <c r="AI16" i="8" l="1"/>
  <c r="Z18" i="8"/>
  <c r="AO18" i="8"/>
  <c r="AC16" i="8"/>
  <c r="AI17" i="8"/>
  <c r="BJ16" i="8"/>
  <c r="X8" i="8"/>
  <c r="BB8" i="8"/>
  <c r="BU8" i="8"/>
  <c r="BW17" i="8"/>
  <c r="BZ17" i="8"/>
  <c r="BZ16" i="8"/>
  <c r="CI17" i="8"/>
  <c r="CB17" i="8"/>
  <c r="BU17" i="8"/>
  <c r="CG17" i="8"/>
  <c r="CA16" i="8"/>
  <c r="CO17" i="8"/>
  <c r="CL17" i="8"/>
  <c r="BY17" i="8"/>
  <c r="BO16" i="8"/>
  <c r="BY16" i="8"/>
  <c r="CD17" i="8"/>
  <c r="BW16" i="8"/>
  <c r="CO16" i="8"/>
  <c r="BX16" i="8"/>
  <c r="CB16" i="8"/>
  <c r="CA18" i="8"/>
  <c r="AB18" i="8"/>
  <c r="BU18" i="8"/>
  <c r="CJ18" i="8"/>
  <c r="AJ16" i="8"/>
  <c r="W17" i="8"/>
  <c r="BJ17" i="8"/>
  <c r="BP16" i="8"/>
  <c r="BS18" i="8"/>
  <c r="BL18" i="8"/>
  <c r="BN16" i="8"/>
  <c r="BS16" i="8"/>
  <c r="BN17" i="8"/>
  <c r="BE17" i="8"/>
  <c r="BM16" i="8"/>
  <c r="BR16" i="8"/>
  <c r="BQ16" i="8"/>
  <c r="BS19" i="8"/>
  <c r="BM17" i="8"/>
  <c r="BG18" i="8"/>
  <c r="BL16" i="8"/>
  <c r="BM19" i="8"/>
  <c r="BG16" i="8"/>
  <c r="BP19" i="8"/>
  <c r="BD16" i="8"/>
  <c r="AJ18" i="8"/>
  <c r="BK18" i="8"/>
  <c r="CF18" i="8"/>
  <c r="AM18" i="8"/>
  <c r="AH18" i="8"/>
  <c r="BH18" i="8"/>
  <c r="AE16" i="8"/>
  <c r="AD17" i="8"/>
  <c r="BK19" i="8"/>
  <c r="AL18" i="8"/>
  <c r="AA18" i="8"/>
  <c r="AK17" i="8"/>
  <c r="BQ17" i="8"/>
  <c r="BO17" i="8"/>
  <c r="U17" i="8"/>
  <c r="BW18" i="8"/>
  <c r="AE17" i="8"/>
  <c r="U16" i="8"/>
  <c r="AG16" i="8"/>
  <c r="U18" i="8"/>
  <c r="CH18" i="8"/>
  <c r="CB18" i="8"/>
  <c r="CC18" i="8"/>
  <c r="AM17" i="8"/>
  <c r="BV18" i="8"/>
  <c r="AL16" i="8"/>
  <c r="AF16" i="8"/>
  <c r="BG19" i="8"/>
  <c r="AF18" i="8"/>
  <c r="AC18" i="8"/>
  <c r="W18" i="8"/>
  <c r="CO18" i="8"/>
  <c r="BK17" i="8"/>
  <c r="AK18" i="8"/>
  <c r="BI19" i="8"/>
  <c r="AG18" i="8"/>
  <c r="BL17" i="8"/>
  <c r="AJ17" i="8"/>
  <c r="BR19" i="8"/>
  <c r="CK18" i="8"/>
  <c r="BX18" i="8"/>
  <c r="CN18" i="8"/>
  <c r="BG17" i="8"/>
  <c r="W16" i="8"/>
  <c r="BJ19" i="8"/>
  <c r="BD18" i="8"/>
  <c r="BZ18" i="8"/>
  <c r="BS17" i="8"/>
  <c r="AG17" i="8"/>
  <c r="BL19" i="8"/>
  <c r="BI17" i="8"/>
  <c r="BI18" i="8"/>
  <c r="BM18" i="8"/>
  <c r="V17" i="8"/>
  <c r="BO18" i="8"/>
  <c r="BY18" i="8"/>
  <c r="BH17" i="8"/>
  <c r="CG18" i="8"/>
  <c r="AF17" i="8"/>
  <c r="AC17" i="8"/>
  <c r="CL18" i="8"/>
  <c r="BP18" i="8"/>
  <c r="BJ18" i="8"/>
  <c r="Z16" i="8"/>
  <c r="X17" i="8"/>
  <c r="Z17" i="8"/>
  <c r="AN16" i="8"/>
  <c r="V18" i="8"/>
  <c r="BR17" i="8"/>
  <c r="AH17" i="8"/>
  <c r="AA17" i="8"/>
  <c r="AK16" i="8"/>
  <c r="V16" i="8"/>
  <c r="CD18" i="8"/>
  <c r="BD17" i="8"/>
  <c r="BD19" i="8"/>
  <c r="AI18" i="8"/>
  <c r="CI18" i="8"/>
  <c r="AO17" i="8"/>
  <c r="BP17" i="8"/>
  <c r="BQ19" i="8"/>
  <c r="AB16" i="8"/>
  <c r="AA16" i="8"/>
  <c r="AM16" i="8"/>
  <c r="AB17" i="8"/>
  <c r="AN18" i="8"/>
  <c r="CE18" i="8"/>
  <c r="AL17" i="8"/>
  <c r="AO16" i="8"/>
  <c r="BB17" i="8"/>
  <c r="BN18" i="8"/>
  <c r="BR18" i="8"/>
  <c r="BH19" i="8"/>
  <c r="AH16" i="8"/>
  <c r="AE18" i="8"/>
  <c r="BQ18" i="8"/>
  <c r="R80" i="8"/>
  <c r="CA17" i="8"/>
  <c r="BX17" i="8"/>
  <c r="CM18" i="8"/>
  <c r="B15" i="21"/>
  <c r="CM19" i="8" s="1"/>
  <c r="D20" i="8"/>
  <c r="BA19" i="8"/>
  <c r="B16" i="11"/>
  <c r="B15" i="11"/>
  <c r="Y19" i="8" s="1"/>
  <c r="B16" i="19"/>
  <c r="BB20" i="8" s="1"/>
  <c r="S32" i="17"/>
  <c r="R13" i="17"/>
  <c r="G29" i="20"/>
  <c r="G21" i="20"/>
  <c r="G21" i="22"/>
  <c r="G29" i="22"/>
  <c r="G28" i="20"/>
  <c r="G28" i="22"/>
  <c r="G27" i="20"/>
  <c r="G27" i="22"/>
  <c r="R88" i="8"/>
  <c r="BU75" i="17"/>
  <c r="Q48" i="17"/>
  <c r="T22" i="17"/>
  <c r="Q88" i="8"/>
  <c r="S22" i="17"/>
  <c r="M28" i="20" s="1"/>
  <c r="T13" i="8"/>
  <c r="R89" i="17"/>
  <c r="Q62" i="8"/>
  <c r="T48" i="17"/>
  <c r="T89" i="17"/>
  <c r="R9" i="22"/>
  <c r="R13" i="8"/>
  <c r="S63" i="17"/>
  <c r="T46" i="8"/>
  <c r="T22" i="8"/>
  <c r="R22" i="8"/>
  <c r="H30" i="22"/>
  <c r="H30" i="20"/>
  <c r="R62" i="8"/>
  <c r="R48" i="17"/>
  <c r="V12" i="17"/>
  <c r="Y12" i="17"/>
  <c r="AX12" i="17"/>
  <c r="R63" i="17"/>
  <c r="Q89" i="17"/>
  <c r="R8" i="13"/>
  <c r="J29" i="22"/>
  <c r="J29" i="20"/>
  <c r="BH8" i="8"/>
  <c r="O62" i="8"/>
  <c r="M23" i="13"/>
  <c r="Q81" i="17"/>
  <c r="G24" i="22"/>
  <c r="G32" i="22"/>
  <c r="G24" i="20"/>
  <c r="G32" i="20"/>
  <c r="Q80" i="8"/>
  <c r="Q22" i="17"/>
  <c r="T62" i="8"/>
  <c r="CH17" i="8"/>
  <c r="CN17" i="8"/>
  <c r="CK17" i="8"/>
  <c r="AN17" i="8"/>
  <c r="BF17" i="8"/>
  <c r="Y17" i="8"/>
  <c r="BV17" i="8"/>
  <c r="BC17" i="8"/>
  <c r="CE17" i="8"/>
  <c r="R32" i="8"/>
  <c r="T32" i="8"/>
  <c r="BB19" i="8"/>
  <c r="BN19" i="8"/>
  <c r="BE19" i="8"/>
  <c r="J28" i="13"/>
  <c r="G20" i="13"/>
  <c r="BB18" i="8"/>
  <c r="X18" i="8"/>
  <c r="BE18" i="8"/>
  <c r="BO19" i="8"/>
  <c r="BF19" i="8"/>
  <c r="BC19" i="8"/>
  <c r="H19" i="13"/>
  <c r="BN10" i="8"/>
  <c r="CD10" i="8"/>
  <c r="BE10" i="8"/>
  <c r="X10" i="8"/>
  <c r="BH10" i="8"/>
  <c r="BB10" i="8"/>
  <c r="CJ10" i="8"/>
  <c r="CG10" i="8"/>
  <c r="AA10" i="8"/>
  <c r="BU67" i="17"/>
  <c r="S81" i="17"/>
  <c r="G23" i="22"/>
  <c r="G31" i="22"/>
  <c r="G23" i="20"/>
  <c r="G31" i="20"/>
  <c r="P22" i="17"/>
  <c r="M28" i="22"/>
  <c r="K28" i="22"/>
  <c r="K28" i="20"/>
  <c r="S48" i="17"/>
  <c r="AX71" i="8"/>
  <c r="R9" i="20"/>
  <c r="O48" i="17"/>
  <c r="K22" i="20"/>
  <c r="M22" i="22"/>
  <c r="K22" i="22"/>
  <c r="M22" i="20"/>
  <c r="P32" i="17"/>
  <c r="M29" i="22"/>
  <c r="K29" i="22"/>
  <c r="M29" i="20"/>
  <c r="K29" i="20"/>
  <c r="S89" i="17"/>
  <c r="Y8" i="17"/>
  <c r="V8" i="17"/>
  <c r="AB8" i="17"/>
  <c r="AR8" i="17"/>
  <c r="S13" i="17"/>
  <c r="AH8" i="17"/>
  <c r="AX74" i="8"/>
  <c r="G20" i="20"/>
  <c r="G20" i="22"/>
  <c r="G30" i="22"/>
  <c r="G30" i="20"/>
  <c r="J28" i="22"/>
  <c r="T80" i="8"/>
  <c r="S80" i="8"/>
  <c r="AX66" i="8"/>
  <c r="J29" i="13"/>
  <c r="F21" i="13"/>
  <c r="CH16" i="8"/>
  <c r="BI16" i="8"/>
  <c r="CN16" i="8"/>
  <c r="S22" i="8"/>
  <c r="CK16" i="8"/>
  <c r="BV16" i="8"/>
  <c r="CE16" i="8"/>
  <c r="BF16" i="8"/>
  <c r="BC16" i="8"/>
  <c r="Y16" i="8"/>
  <c r="AB12" i="8"/>
  <c r="Y12" i="8"/>
  <c r="AN12" i="8"/>
  <c r="AE12" i="8"/>
  <c r="CB12" i="8"/>
  <c r="BI12" i="8"/>
  <c r="BF12" i="8"/>
  <c r="BC12" i="8"/>
  <c r="BF18" i="8"/>
  <c r="BC18" i="8"/>
  <c r="Y18" i="8"/>
  <c r="H27" i="13"/>
  <c r="G19" i="13"/>
  <c r="BU9" i="8"/>
  <c r="BB9" i="8"/>
  <c r="AA9" i="8"/>
  <c r="BH9" i="8"/>
  <c r="AX55" i="8"/>
  <c r="S32" i="8"/>
  <c r="J27" i="13"/>
  <c r="S46" i="8"/>
  <c r="G19" i="20"/>
  <c r="H27" i="22"/>
  <c r="G19" i="22"/>
  <c r="H27" i="20"/>
  <c r="R8" i="20"/>
  <c r="R8" i="22"/>
  <c r="T63" i="17"/>
  <c r="P63" i="17" s="1"/>
  <c r="AG8" i="17"/>
  <c r="Q13" i="17"/>
  <c r="X8" i="17"/>
  <c r="J27" i="22"/>
  <c r="U8" i="17"/>
  <c r="J27" i="20"/>
  <c r="AA8" i="17"/>
  <c r="AQ8" i="17"/>
  <c r="H20" i="20"/>
  <c r="H28" i="22"/>
  <c r="H20" i="22"/>
  <c r="H28" i="20"/>
  <c r="AX53" i="8"/>
  <c r="G22" i="13"/>
  <c r="J30" i="13"/>
  <c r="Q46" i="8"/>
  <c r="Q32" i="8"/>
  <c r="BV9" i="8"/>
  <c r="BC9" i="8"/>
  <c r="AB9" i="8"/>
  <c r="BI9" i="8"/>
  <c r="Q13" i="8"/>
  <c r="H22" i="13"/>
  <c r="H20" i="13"/>
  <c r="O89" i="17"/>
  <c r="M25" i="22"/>
  <c r="K25" i="22"/>
  <c r="M25" i="20"/>
  <c r="K25" i="20"/>
  <c r="BU74" i="17"/>
  <c r="R81" i="17"/>
  <c r="T81" i="17"/>
  <c r="G22" i="22"/>
  <c r="G22" i="20"/>
  <c r="R22" i="17"/>
  <c r="P9" i="22"/>
  <c r="P9" i="20"/>
  <c r="Q32" i="17"/>
  <c r="H22" i="22"/>
  <c r="J30" i="20"/>
  <c r="H22" i="20"/>
  <c r="J30" i="22"/>
  <c r="Q63" i="17"/>
  <c r="S62" i="8"/>
  <c r="S13" i="8"/>
  <c r="Y8" i="8"/>
  <c r="BV8" i="8"/>
  <c r="BC8" i="8"/>
  <c r="BI8" i="8"/>
  <c r="BO8" i="8"/>
  <c r="AB8" i="8"/>
  <c r="BF8" i="8"/>
  <c r="P8" i="20"/>
  <c r="P8" i="22"/>
  <c r="G25" i="22"/>
  <c r="G33" i="22"/>
  <c r="G25" i="20"/>
  <c r="G33" i="20"/>
  <c r="H19" i="20"/>
  <c r="BO11" i="8"/>
  <c r="BF11" i="8"/>
  <c r="AB11" i="8"/>
  <c r="BC11" i="8"/>
  <c r="BI11" i="8"/>
  <c r="BH12" i="8"/>
  <c r="AA12" i="8"/>
  <c r="BE12" i="8"/>
  <c r="AM12" i="8"/>
  <c r="AD12" i="8"/>
  <c r="CA12" i="8"/>
  <c r="X12" i="8"/>
  <c r="BB12" i="8"/>
  <c r="AA11" i="8"/>
  <c r="BN11" i="8"/>
  <c r="BH11" i="8"/>
  <c r="BE11" i="8"/>
  <c r="BB11" i="8"/>
  <c r="Q22" i="8"/>
  <c r="BB16" i="8"/>
  <c r="BU16" i="8"/>
  <c r="CG16" i="8"/>
  <c r="X16" i="8"/>
  <c r="CD16" i="8"/>
  <c r="BH16" i="8"/>
  <c r="BE16" i="8"/>
  <c r="CM16" i="8"/>
  <c r="CJ16" i="8"/>
  <c r="R46" i="8"/>
  <c r="P8" i="13"/>
  <c r="H28" i="13"/>
  <c r="BE20" i="8" l="1"/>
  <c r="BF20" i="8"/>
  <c r="BC20" i="8"/>
  <c r="CH19" i="8"/>
  <c r="X19" i="8"/>
  <c r="Y20" i="8"/>
  <c r="CE19" i="8"/>
  <c r="CN19" i="8"/>
  <c r="CD19" i="8"/>
  <c r="CG19" i="8"/>
  <c r="X20" i="8"/>
  <c r="BR20" i="8"/>
  <c r="BK20" i="8"/>
  <c r="BQ20" i="8"/>
  <c r="BN20" i="8"/>
  <c r="BL20" i="8"/>
  <c r="BO20" i="8"/>
  <c r="BH20" i="8"/>
  <c r="BP20" i="8"/>
  <c r="BS20" i="8"/>
  <c r="BG20" i="8"/>
  <c r="BD20" i="8"/>
  <c r="BM20" i="8"/>
  <c r="BJ20" i="8"/>
  <c r="B16" i="21"/>
  <c r="CA20" i="8" s="1"/>
  <c r="BV19" i="8"/>
  <c r="AD19" i="8"/>
  <c r="AJ19" i="8"/>
  <c r="AE20" i="8"/>
  <c r="AH20" i="8"/>
  <c r="V19" i="8"/>
  <c r="AG19" i="8"/>
  <c r="AK20" i="8"/>
  <c r="AN19" i="8"/>
  <c r="AH19" i="8"/>
  <c r="AB19" i="8"/>
  <c r="AK19" i="8"/>
  <c r="AA19" i="8"/>
  <c r="AG20" i="8"/>
  <c r="AA20" i="8"/>
  <c r="U20" i="8"/>
  <c r="AN20" i="8"/>
  <c r="AB20" i="8"/>
  <c r="AE19" i="8"/>
  <c r="AM19" i="8"/>
  <c r="V20" i="8"/>
  <c r="AJ20" i="8"/>
  <c r="AM20" i="8"/>
  <c r="AD20" i="8"/>
  <c r="AI20" i="8"/>
  <c r="AL20" i="8"/>
  <c r="AI19" i="8"/>
  <c r="Z20" i="8"/>
  <c r="AC20" i="8"/>
  <c r="AL19" i="8"/>
  <c r="AO20" i="8"/>
  <c r="Z19" i="8"/>
  <c r="AC19" i="8"/>
  <c r="W20" i="8"/>
  <c r="W19" i="8"/>
  <c r="AF19" i="8"/>
  <c r="AO19" i="8"/>
  <c r="AF20" i="8"/>
  <c r="D21" i="8"/>
  <c r="BA20" i="8"/>
  <c r="B17" i="11"/>
  <c r="B17" i="21"/>
  <c r="CK19" i="8"/>
  <c r="BY19" i="8"/>
  <c r="BU19" i="8"/>
  <c r="CA19" i="8"/>
  <c r="CB19" i="8"/>
  <c r="CI19" i="8"/>
  <c r="CO19" i="8"/>
  <c r="BW19" i="8"/>
  <c r="BZ19" i="8"/>
  <c r="CC19" i="8"/>
  <c r="CL19" i="8"/>
  <c r="CF19" i="8"/>
  <c r="CJ19" i="8"/>
  <c r="U19" i="8"/>
  <c r="BI20" i="8"/>
  <c r="K23" i="13"/>
  <c r="BX19" i="8"/>
  <c r="K33" i="13"/>
  <c r="O22" i="17"/>
  <c r="M20" i="22"/>
  <c r="K20" i="22"/>
  <c r="M20" i="20"/>
  <c r="K20" i="20"/>
  <c r="M25" i="13"/>
  <c r="K25" i="13"/>
  <c r="O88" i="8"/>
  <c r="P89" i="17"/>
  <c r="M33" i="22"/>
  <c r="K33" i="22"/>
  <c r="M33" i="20"/>
  <c r="K33" i="20"/>
  <c r="M30" i="13"/>
  <c r="P46" i="8"/>
  <c r="K30" i="13"/>
  <c r="P81" i="17"/>
  <c r="M32" i="22"/>
  <c r="K32" i="22"/>
  <c r="M32" i="20"/>
  <c r="K32" i="20"/>
  <c r="M31" i="22"/>
  <c r="M27" i="13"/>
  <c r="K27" i="13"/>
  <c r="P13" i="8"/>
  <c r="O32" i="17"/>
  <c r="M21" i="22"/>
  <c r="K21" i="22"/>
  <c r="M21" i="20"/>
  <c r="K21" i="20"/>
  <c r="M29" i="13"/>
  <c r="K29" i="13"/>
  <c r="P32" i="8"/>
  <c r="M27" i="22"/>
  <c r="P13" i="17"/>
  <c r="K27" i="22"/>
  <c r="M27" i="20"/>
  <c r="K27" i="20"/>
  <c r="K31" i="20"/>
  <c r="M19" i="13"/>
  <c r="K19" i="13"/>
  <c r="O13" i="8"/>
  <c r="K22" i="13"/>
  <c r="O46" i="8"/>
  <c r="M22" i="13"/>
  <c r="O63" i="17"/>
  <c r="M23" i="20"/>
  <c r="K23" i="20"/>
  <c r="M23" i="22"/>
  <c r="K23" i="22"/>
  <c r="M24" i="13"/>
  <c r="K24" i="13"/>
  <c r="O80" i="8"/>
  <c r="O81" i="17"/>
  <c r="K24" i="22"/>
  <c r="M24" i="20"/>
  <c r="K24" i="20"/>
  <c r="M24" i="22"/>
  <c r="M31" i="20"/>
  <c r="M19" i="22"/>
  <c r="O13" i="17"/>
  <c r="K19" i="22"/>
  <c r="M19" i="20"/>
  <c r="K19" i="20"/>
  <c r="K31" i="22"/>
  <c r="K20" i="13"/>
  <c r="M20" i="13"/>
  <c r="O22" i="8"/>
  <c r="M21" i="13"/>
  <c r="K21" i="13"/>
  <c r="O32" i="8"/>
  <c r="M32" i="13"/>
  <c r="K32" i="13"/>
  <c r="P80" i="8"/>
  <c r="P48" i="17"/>
  <c r="M30" i="20"/>
  <c r="K30" i="22"/>
  <c r="M30" i="22"/>
  <c r="K30" i="20"/>
  <c r="M31" i="13"/>
  <c r="K31" i="13"/>
  <c r="P62" i="8"/>
  <c r="K28" i="13"/>
  <c r="M28" i="13"/>
  <c r="P22" i="8"/>
  <c r="BY20" i="8" l="1"/>
  <c r="CC21" i="8"/>
  <c r="CL20" i="8"/>
  <c r="CD21" i="8"/>
  <c r="CG20" i="8"/>
  <c r="BW21" i="8"/>
  <c r="CB20" i="8"/>
  <c r="CO21" i="8"/>
  <c r="CL21" i="8"/>
  <c r="CI20" i="8"/>
  <c r="CM20" i="8"/>
  <c r="BU21" i="8"/>
  <c r="CJ20" i="8"/>
  <c r="CO20" i="8"/>
  <c r="BZ20" i="8"/>
  <c r="BU20" i="8"/>
  <c r="BX20" i="8"/>
  <c r="BX21" i="8"/>
  <c r="CK20" i="8"/>
  <c r="CN21" i="8"/>
  <c r="CG21" i="8"/>
  <c r="BV21" i="8"/>
  <c r="CH20" i="8"/>
  <c r="CN20" i="8"/>
  <c r="CM21" i="8"/>
  <c r="CC20" i="8"/>
  <c r="CF21" i="8"/>
  <c r="CB21" i="8"/>
  <c r="BV20" i="8"/>
  <c r="CD20" i="8"/>
  <c r="BZ21" i="8"/>
  <c r="CF20" i="8"/>
  <c r="CA21" i="8"/>
  <c r="CE20" i="8"/>
  <c r="BY21" i="8"/>
  <c r="CJ21" i="8"/>
  <c r="CI21" i="8"/>
  <c r="BW20" i="8"/>
  <c r="BA21" i="8"/>
  <c r="D25" i="8"/>
  <c r="B17" i="19"/>
  <c r="L7" i="10"/>
  <c r="B19" i="19"/>
  <c r="Y21" i="8"/>
  <c r="AD21" i="8"/>
  <c r="W21" i="8"/>
  <c r="AH21" i="8"/>
  <c r="U21" i="8"/>
  <c r="Z21" i="8"/>
  <c r="AC21" i="8"/>
  <c r="AE21" i="8"/>
  <c r="AN21" i="8"/>
  <c r="AJ21" i="8"/>
  <c r="AM21" i="8"/>
  <c r="AA21" i="8"/>
  <c r="AO21" i="8"/>
  <c r="AI21" i="8"/>
  <c r="X21" i="8"/>
  <c r="V21" i="8"/>
  <c r="AL21" i="8"/>
  <c r="AK21" i="8"/>
  <c r="AG21" i="8"/>
  <c r="AB21" i="8"/>
  <c r="AF21" i="8"/>
  <c r="CE21" i="8"/>
  <c r="CK21" i="8"/>
  <c r="CH21" i="8"/>
  <c r="P88" i="8"/>
  <c r="M33" i="13"/>
  <c r="BC25" i="8" l="1"/>
  <c r="BC21" i="8"/>
  <c r="BE25" i="8"/>
  <c r="X25" i="17"/>
  <c r="BO21" i="8"/>
  <c r="BO25" i="8"/>
  <c r="AG25" i="17"/>
  <c r="U25" i="17"/>
  <c r="BF21" i="8"/>
  <c r="BF25" i="8"/>
  <c r="BB25" i="8"/>
  <c r="BN25" i="8"/>
  <c r="BH25" i="8"/>
  <c r="AE25" i="17"/>
  <c r="BJ21" i="8"/>
  <c r="BR25" i="8"/>
  <c r="BH21" i="8"/>
  <c r="AJ25" i="17"/>
  <c r="BG25" i="8"/>
  <c r="W25" i="17"/>
  <c r="AF25" i="17"/>
  <c r="BI21" i="8"/>
  <c r="Z25" i="17"/>
  <c r="BM25" i="8"/>
  <c r="BK25" i="8"/>
  <c r="BQ21" i="8"/>
  <c r="AN25" i="17"/>
  <c r="BL21" i="8"/>
  <c r="BI25" i="8"/>
  <c r="BL25" i="8"/>
  <c r="AO25" i="17"/>
  <c r="AA25" i="17"/>
  <c r="BM21" i="8"/>
  <c r="AK25" i="17"/>
  <c r="AB25" i="17"/>
  <c r="BB21" i="8"/>
  <c r="AC25" i="17"/>
  <c r="BP25" i="8"/>
  <c r="BR21" i="8"/>
  <c r="AD25" i="17"/>
  <c r="AM25" i="17"/>
  <c r="AI25" i="17"/>
  <c r="BD25" i="8"/>
  <c r="BS21" i="8"/>
  <c r="Y25" i="17"/>
  <c r="BD21" i="8"/>
  <c r="BJ25" i="8"/>
  <c r="AL25" i="17"/>
  <c r="BP21" i="8"/>
  <c r="BE21" i="8"/>
  <c r="BS25" i="8"/>
  <c r="BG21" i="8"/>
  <c r="BK21" i="8"/>
  <c r="AH25" i="17"/>
  <c r="V25" i="17"/>
  <c r="BN21" i="8"/>
  <c r="BQ25" i="8"/>
  <c r="C42" i="20"/>
  <c r="C42" i="22"/>
  <c r="C41" i="13"/>
  <c r="BA25" i="8"/>
  <c r="D26" i="8"/>
  <c r="B19" i="11"/>
  <c r="B20" i="11"/>
  <c r="B19" i="21"/>
  <c r="L8" i="10" l="1"/>
  <c r="Y26" i="8"/>
  <c r="W25" i="8"/>
  <c r="AM26" i="8"/>
  <c r="AH25" i="8"/>
  <c r="AO26" i="8"/>
  <c r="X26" i="8"/>
  <c r="AG25" i="8"/>
  <c r="AF26" i="8"/>
  <c r="AK26" i="8"/>
  <c r="AD25" i="8"/>
  <c r="U26" i="8"/>
  <c r="AL25" i="8"/>
  <c r="AH26" i="8"/>
  <c r="AN26" i="8"/>
  <c r="AJ26" i="8"/>
  <c r="AI26" i="8"/>
  <c r="Z26" i="8"/>
  <c r="AB25" i="8"/>
  <c r="AE25" i="8"/>
  <c r="W26" i="8"/>
  <c r="AB26" i="8"/>
  <c r="AC25" i="8"/>
  <c r="AI25" i="8"/>
  <c r="AE26" i="8"/>
  <c r="AK25" i="8"/>
  <c r="AO25" i="8"/>
  <c r="V25" i="8"/>
  <c r="Z25" i="8"/>
  <c r="AJ25" i="8"/>
  <c r="AC26" i="8"/>
  <c r="X25" i="8"/>
  <c r="AM25" i="8"/>
  <c r="AG26" i="8"/>
  <c r="AF25" i="8"/>
  <c r="Y25" i="8"/>
  <c r="AA26" i="8"/>
  <c r="AN25" i="8"/>
  <c r="U25" i="8"/>
  <c r="AL26" i="8"/>
  <c r="AD26" i="8"/>
  <c r="AA25" i="8"/>
  <c r="V26" i="8"/>
  <c r="CM25" i="8"/>
  <c r="AR25" i="17"/>
  <c r="AZ25" i="17"/>
  <c r="AT25" i="17"/>
  <c r="AV25" i="17"/>
  <c r="AQ25" i="17"/>
  <c r="CN25" i="8"/>
  <c r="BY25" i="8"/>
  <c r="AU25" i="17"/>
  <c r="BI25" i="17"/>
  <c r="BK25" i="17"/>
  <c r="BU25" i="8"/>
  <c r="BE25" i="17"/>
  <c r="BV25" i="8"/>
  <c r="BX25" i="8"/>
  <c r="BJ25" i="17"/>
  <c r="BG25" i="17"/>
  <c r="BH25" i="17"/>
  <c r="AY25" i="17"/>
  <c r="CI25" i="8"/>
  <c r="CF25" i="8"/>
  <c r="BZ25" i="8"/>
  <c r="AW25" i="17"/>
  <c r="BB25" i="17"/>
  <c r="AX25" i="17"/>
  <c r="CO25" i="8"/>
  <c r="BW25" i="8"/>
  <c r="BA25" i="17"/>
  <c r="CC25" i="8"/>
  <c r="BD25" i="17"/>
  <c r="CL25" i="8"/>
  <c r="AS25" i="17"/>
  <c r="BF25" i="17"/>
  <c r="CG25" i="8"/>
  <c r="BC25" i="17"/>
  <c r="CJ25" i="8"/>
  <c r="CB25" i="8"/>
  <c r="CK25" i="8"/>
  <c r="CD25" i="8"/>
  <c r="CA25" i="8"/>
  <c r="CH25" i="8"/>
  <c r="CE25" i="8"/>
  <c r="B20" i="19"/>
  <c r="D27" i="8"/>
  <c r="BA26" i="8"/>
  <c r="B20" i="21"/>
  <c r="B21" i="21"/>
  <c r="CD26" i="8" l="1"/>
  <c r="BZ27" i="8"/>
  <c r="CG26" i="8"/>
  <c r="CH27" i="8"/>
  <c r="CG27" i="8"/>
  <c r="CH26" i="8"/>
  <c r="BW26" i="8"/>
  <c r="L9" i="10"/>
  <c r="CE26" i="8"/>
  <c r="CE27" i="8"/>
  <c r="BX27" i="8"/>
  <c r="BY27" i="8"/>
  <c r="CN27" i="8"/>
  <c r="BV27" i="8"/>
  <c r="CJ27" i="8"/>
  <c r="CC26" i="8"/>
  <c r="CO27" i="8"/>
  <c r="CL27" i="8"/>
  <c r="CM27" i="8"/>
  <c r="BX26" i="8"/>
  <c r="CK27" i="8"/>
  <c r="CA26" i="8"/>
  <c r="BU26" i="8"/>
  <c r="CB26" i="8"/>
  <c r="BW27" i="8"/>
  <c r="CB27" i="8"/>
  <c r="CL26" i="8"/>
  <c r="CO26" i="8"/>
  <c r="BU27" i="8"/>
  <c r="CA27" i="8"/>
  <c r="BV26" i="8"/>
  <c r="CC27" i="8"/>
  <c r="BY26" i="8"/>
  <c r="BZ26" i="8"/>
  <c r="BO26" i="8"/>
  <c r="BF26" i="8"/>
  <c r="BM26" i="8"/>
  <c r="BE26" i="8"/>
  <c r="BI26" i="8"/>
  <c r="BH26" i="8"/>
  <c r="BD26" i="8"/>
  <c r="BG26" i="8"/>
  <c r="BL26" i="8"/>
  <c r="BC26" i="8"/>
  <c r="BP26" i="8"/>
  <c r="BJ26" i="8"/>
  <c r="BR26" i="8"/>
  <c r="BB26" i="8"/>
  <c r="BQ26" i="8"/>
  <c r="BK26" i="8"/>
  <c r="BN26" i="8"/>
  <c r="BS26" i="8"/>
  <c r="CM26" i="8"/>
  <c r="CJ26" i="8"/>
  <c r="CF26" i="8"/>
  <c r="D28" i="8"/>
  <c r="BA27" i="8"/>
  <c r="B22" i="19"/>
  <c r="B21" i="11"/>
  <c r="B22" i="21"/>
  <c r="CK28" i="8" s="1"/>
  <c r="B21" i="19"/>
  <c r="CI26" i="8"/>
  <c r="CN26" i="8"/>
  <c r="CF27" i="8"/>
  <c r="CK26" i="8"/>
  <c r="CD27" i="8"/>
  <c r="CI27" i="8"/>
  <c r="C42" i="13"/>
  <c r="C43" i="20"/>
  <c r="C43" i="22"/>
  <c r="BH28" i="8" l="1"/>
  <c r="BG28" i="8"/>
  <c r="BM28" i="8"/>
  <c r="BQ27" i="8"/>
  <c r="BC28" i="8"/>
  <c r="BM27" i="8"/>
  <c r="BB28" i="8"/>
  <c r="BC27" i="8"/>
  <c r="BQ28" i="8"/>
  <c r="CO28" i="8"/>
  <c r="CA28" i="8"/>
  <c r="CH28" i="8"/>
  <c r="BZ28" i="8"/>
  <c r="BX28" i="8"/>
  <c r="CE28" i="8"/>
  <c r="BV28" i="8"/>
  <c r="CD28" i="8"/>
  <c r="CF28" i="8"/>
  <c r="BY28" i="8"/>
  <c r="CI28" i="8"/>
  <c r="CJ28" i="8"/>
  <c r="CB28" i="8"/>
  <c r="CC28" i="8"/>
  <c r="CM28" i="8"/>
  <c r="CG28" i="8"/>
  <c r="BU28" i="8"/>
  <c r="BW28" i="8"/>
  <c r="CN28" i="8"/>
  <c r="CL28" i="8"/>
  <c r="D29" i="8"/>
  <c r="BA28" i="8"/>
  <c r="B22" i="11"/>
  <c r="AK28" i="8" s="1"/>
  <c r="L10" i="10"/>
  <c r="C44" i="13" s="1"/>
  <c r="BE27" i="8"/>
  <c r="BH27" i="8"/>
  <c r="AC27" i="8"/>
  <c r="Z27" i="8"/>
  <c r="AM27" i="8"/>
  <c r="U27" i="8"/>
  <c r="AL27" i="8"/>
  <c r="AA27" i="8"/>
  <c r="W27" i="8"/>
  <c r="AO27" i="8"/>
  <c r="X27" i="8"/>
  <c r="AH27" i="8"/>
  <c r="Y27" i="8"/>
  <c r="AK27" i="8"/>
  <c r="AD27" i="8"/>
  <c r="AG27" i="8"/>
  <c r="AF27" i="8"/>
  <c r="AJ27" i="8"/>
  <c r="AI27" i="8"/>
  <c r="V27" i="8"/>
  <c r="AE27" i="8"/>
  <c r="AB27" i="8"/>
  <c r="AN27" i="8"/>
  <c r="BJ27" i="8"/>
  <c r="BD28" i="8"/>
  <c r="BN27" i="8"/>
  <c r="BR28" i="8"/>
  <c r="BD27" i="8"/>
  <c r="BK27" i="8"/>
  <c r="BO28" i="8"/>
  <c r="BS28" i="8"/>
  <c r="BB27" i="8"/>
  <c r="BF28" i="8"/>
  <c r="BG27" i="8"/>
  <c r="BS27" i="8"/>
  <c r="BI28" i="8"/>
  <c r="BJ28" i="8"/>
  <c r="BL28" i="8"/>
  <c r="BN28" i="8"/>
  <c r="BO27" i="8"/>
  <c r="BP27" i="8"/>
  <c r="BR27" i="8"/>
  <c r="BF27" i="8"/>
  <c r="BI27" i="8"/>
  <c r="BE28" i="8"/>
  <c r="BK28" i="8"/>
  <c r="BP28" i="8"/>
  <c r="BL27" i="8"/>
  <c r="C44" i="22"/>
  <c r="C43" i="13"/>
  <c r="C44" i="20"/>
  <c r="AJ28" i="8" l="1"/>
  <c r="U28" i="8"/>
  <c r="AM28" i="8"/>
  <c r="AA28" i="8"/>
  <c r="Y28" i="8"/>
  <c r="AG28" i="8"/>
  <c r="V28" i="8"/>
  <c r="AO28" i="8"/>
  <c r="AB28" i="8"/>
  <c r="AE28" i="8"/>
  <c r="AI28" i="8"/>
  <c r="X28" i="8"/>
  <c r="AN28" i="8"/>
  <c r="AH28" i="8"/>
  <c r="AL28" i="8"/>
  <c r="W28" i="8"/>
  <c r="AF28" i="8"/>
  <c r="AD28" i="8"/>
  <c r="Z28" i="8"/>
  <c r="AC28" i="8"/>
  <c r="BA29" i="8"/>
  <c r="D30" i="8"/>
  <c r="D31" i="8" l="1"/>
  <c r="BA30" i="8"/>
  <c r="D35" i="8" l="1"/>
  <c r="BA31" i="8"/>
  <c r="D36" i="8" l="1"/>
  <c r="BA35" i="8"/>
  <c r="D37" i="8" l="1"/>
  <c r="BA36" i="8"/>
  <c r="BA37" i="8" l="1"/>
  <c r="D38" i="8"/>
  <c r="BA38" i="8" l="1"/>
  <c r="D39" i="8"/>
  <c r="D40" i="8" l="1"/>
  <c r="BA39" i="8"/>
  <c r="D41" i="8" l="1"/>
  <c r="BA40" i="8"/>
  <c r="BA41" i="8" l="1"/>
  <c r="D42" i="8"/>
  <c r="BA42" i="8" l="1"/>
  <c r="D43" i="8"/>
  <c r="D44" i="8" l="1"/>
  <c r="BA43" i="8"/>
  <c r="D45" i="8" l="1"/>
  <c r="BA44" i="8"/>
  <c r="D49" i="8" l="1"/>
  <c r="BA45" i="8"/>
  <c r="D50" i="8" l="1"/>
  <c r="BA49" i="8"/>
  <c r="D51" i="8" l="1"/>
  <c r="BA50" i="8"/>
  <c r="D52" i="8" l="1"/>
  <c r="BA51" i="8"/>
  <c r="D53" i="8" l="1"/>
  <c r="BA52" i="8"/>
  <c r="D54" i="8" l="1"/>
  <c r="BA53" i="8"/>
  <c r="D55" i="8" l="1"/>
  <c r="BA54" i="8"/>
  <c r="BA55" i="8" l="1"/>
  <c r="D56" i="8"/>
  <c r="D57" i="8" l="1"/>
  <c r="BA56" i="8"/>
  <c r="D58" i="8" l="1"/>
  <c r="BA57" i="8"/>
  <c r="D59" i="8" l="1"/>
  <c r="BA58" i="8"/>
  <c r="BA59" i="8" l="1"/>
  <c r="D60" i="8"/>
  <c r="BA60" i="8" l="1"/>
  <c r="D61" i="8"/>
  <c r="D66" i="8" l="1"/>
  <c r="BA61" i="8"/>
  <c r="D67" i="8" l="1"/>
  <c r="BA66" i="8"/>
  <c r="D68" i="8" l="1"/>
  <c r="BA67" i="8"/>
  <c r="BA68" i="8" l="1"/>
  <c r="D69" i="8"/>
  <c r="BA69" i="8" l="1"/>
  <c r="D71" i="8"/>
  <c r="BA71" i="8" l="1"/>
  <c r="D72" i="8"/>
  <c r="BA72" i="8" l="1"/>
  <c r="D73" i="8"/>
  <c r="BA73" i="8" l="1"/>
  <c r="D74" i="8"/>
  <c r="D75" i="8" l="1"/>
  <c r="BA74" i="8"/>
  <c r="D76" i="8" l="1"/>
  <c r="BA75" i="8"/>
  <c r="D78" i="8" l="1"/>
  <c r="BA76" i="8"/>
  <c r="D79" i="8" l="1"/>
  <c r="BA78" i="8"/>
  <c r="D83" i="8" l="1"/>
  <c r="BA79" i="8"/>
  <c r="D84" i="8" l="1"/>
  <c r="BA83" i="8"/>
  <c r="D85" i="8" l="1"/>
  <c r="BA84" i="8"/>
  <c r="D86" i="8" l="1"/>
  <c r="BA85" i="8"/>
  <c r="D87" i="8" l="1"/>
  <c r="BA86" i="8"/>
  <c r="BA87" i="8" l="1"/>
  <c r="L13" i="10"/>
  <c r="B51" i="21"/>
  <c r="B66" i="19"/>
  <c r="B42" i="21"/>
  <c r="B29" i="11"/>
  <c r="B37" i="11"/>
  <c r="P6" i="10"/>
  <c r="N13" i="10"/>
  <c r="N10" i="10"/>
  <c r="B72" i="19"/>
  <c r="B69" i="21"/>
  <c r="L12" i="10"/>
  <c r="B48" i="19"/>
  <c r="B29" i="19"/>
  <c r="B37" i="21"/>
  <c r="B73" i="19"/>
  <c r="B28" i="21"/>
  <c r="B32" i="19"/>
  <c r="B73" i="11"/>
  <c r="B45" i="11"/>
  <c r="B44" i="11"/>
  <c r="B23" i="21"/>
  <c r="B45" i="21"/>
  <c r="B63" i="11"/>
  <c r="B27" i="11"/>
  <c r="B44" i="19"/>
  <c r="B34" i="19"/>
  <c r="B46" i="19"/>
  <c r="B57" i="19"/>
  <c r="B59" i="21"/>
  <c r="B70" i="19"/>
  <c r="N9" i="10"/>
  <c r="B63" i="21"/>
  <c r="B35" i="11"/>
  <c r="B32" i="21"/>
  <c r="B34" i="21"/>
  <c r="B37" i="19"/>
  <c r="B57" i="11"/>
  <c r="B55" i="21"/>
  <c r="B49" i="19"/>
  <c r="P4" i="10"/>
  <c r="B47" i="11"/>
  <c r="N15" i="10"/>
  <c r="B36" i="21"/>
  <c r="B69" i="11"/>
  <c r="P5" i="10"/>
  <c r="B45" i="19"/>
  <c r="B46" i="21"/>
  <c r="B42" i="19"/>
  <c r="L11" i="10"/>
  <c r="B62" i="11"/>
  <c r="B62" i="21"/>
  <c r="B55" i="11"/>
  <c r="B31" i="11"/>
  <c r="B30" i="11"/>
  <c r="P2" i="10"/>
  <c r="B56" i="19"/>
  <c r="B72" i="21"/>
  <c r="B31" i="21"/>
  <c r="B25" i="11"/>
  <c r="B38" i="19"/>
  <c r="B32" i="11"/>
  <c r="B33" i="11"/>
  <c r="B71" i="21"/>
  <c r="B41" i="21"/>
  <c r="B30" i="19"/>
  <c r="N11" i="10"/>
  <c r="B24" i="11"/>
  <c r="B40" i="11"/>
  <c r="N8" i="10"/>
  <c r="N5" i="10"/>
  <c r="B67" i="19"/>
  <c r="B28" i="11"/>
  <c r="B71" i="19"/>
  <c r="N2" i="10"/>
  <c r="B60" i="19"/>
  <c r="B50" i="21"/>
  <c r="B27" i="21"/>
  <c r="B36" i="19"/>
  <c r="B70" i="21"/>
  <c r="B33" i="19"/>
  <c r="B39" i="21"/>
  <c r="B43" i="19"/>
  <c r="B49" i="21"/>
  <c r="B43" i="21"/>
  <c r="B69" i="19"/>
  <c r="B54" i="21"/>
  <c r="N12" i="10"/>
  <c r="B23" i="19"/>
  <c r="P7" i="10"/>
  <c r="B33" i="21"/>
  <c r="N7" i="10"/>
  <c r="B60" i="11"/>
  <c r="B60" i="21"/>
  <c r="B70" i="11"/>
  <c r="B50" i="19"/>
  <c r="N4" i="10"/>
  <c r="L14" i="10"/>
  <c r="B28" i="19"/>
  <c r="B61" i="21"/>
  <c r="B54" i="11"/>
  <c r="B63" i="19"/>
  <c r="B25" i="21"/>
  <c r="B56" i="21"/>
  <c r="B51" i="19"/>
  <c r="B61" i="19"/>
  <c r="B71" i="11"/>
  <c r="B24" i="19"/>
  <c r="B61" i="11"/>
  <c r="B66" i="11"/>
  <c r="B38" i="21"/>
  <c r="B66" i="21"/>
  <c r="B35" i="19"/>
  <c r="B24" i="21"/>
  <c r="B72" i="11"/>
  <c r="B67" i="21"/>
  <c r="B64" i="19"/>
  <c r="B73" i="21"/>
  <c r="B51" i="11"/>
  <c r="N14" i="10"/>
  <c r="B23" i="11"/>
  <c r="B55" i="19"/>
  <c r="B64" i="21"/>
  <c r="B50" i="11"/>
  <c r="B44" i="21"/>
  <c r="B35" i="21"/>
  <c r="B29" i="21"/>
  <c r="B59" i="11"/>
  <c r="B42" i="11"/>
  <c r="B39" i="11"/>
  <c r="B48" i="11"/>
  <c r="B25" i="19"/>
  <c r="B54" i="19"/>
  <c r="B41" i="11"/>
  <c r="P3" i="10"/>
  <c r="L15" i="10"/>
  <c r="B30" i="21"/>
  <c r="P8" i="10"/>
  <c r="B39" i="19"/>
  <c r="B36" i="11"/>
  <c r="B49" i="11"/>
  <c r="B47" i="19"/>
  <c r="N6" i="10"/>
  <c r="B57" i="21"/>
  <c r="B43" i="11"/>
  <c r="B56" i="11"/>
  <c r="B27" i="19"/>
  <c r="B31" i="19"/>
  <c r="B64" i="11"/>
  <c r="B59" i="19"/>
  <c r="B41" i="19"/>
  <c r="B47" i="21"/>
  <c r="B48" i="21"/>
  <c r="B67" i="11"/>
  <c r="B62" i="19"/>
  <c r="B34" i="11"/>
  <c r="N3" i="10"/>
  <c r="B46" i="11"/>
  <c r="F41" i="22" l="1"/>
  <c r="F40" i="13"/>
  <c r="F41" i="20"/>
  <c r="F39" i="22"/>
  <c r="F39" i="13"/>
  <c r="F39" i="20"/>
  <c r="C57" i="22"/>
  <c r="C57" i="20"/>
  <c r="C54" i="22"/>
  <c r="C54" i="20"/>
  <c r="CN73" i="8"/>
  <c r="BV54" i="8"/>
  <c r="CJ78" i="8"/>
  <c r="BF88" i="17"/>
  <c r="CE66" i="8"/>
  <c r="CC57" i="8"/>
  <c r="CG43" i="8"/>
  <c r="CJ45" i="8"/>
  <c r="CJ43" i="8"/>
  <c r="CE41" i="8"/>
  <c r="CN55" i="8"/>
  <c r="BU56" i="8"/>
  <c r="BY35" i="8"/>
  <c r="BY58" i="8"/>
  <c r="CE87" i="8"/>
  <c r="BG88" i="17"/>
  <c r="CO52" i="8"/>
  <c r="CK38" i="8"/>
  <c r="CO31" i="8"/>
  <c r="BX74" i="8"/>
  <c r="CB44" i="8"/>
  <c r="CA37" i="8"/>
  <c r="CA69" i="8"/>
  <c r="CK53" i="8"/>
  <c r="CD86" i="8"/>
  <c r="CM76" i="8"/>
  <c r="BV40" i="8"/>
  <c r="CM78" i="8"/>
  <c r="CN75" i="8"/>
  <c r="CK41" i="8"/>
  <c r="BX44" i="8"/>
  <c r="F43" i="22"/>
  <c r="F43" i="20"/>
  <c r="F42" i="13"/>
  <c r="C56" i="20"/>
  <c r="C56" i="22"/>
  <c r="AT52" i="17"/>
  <c r="BX67" i="8"/>
  <c r="CG68" i="8"/>
  <c r="BA73" i="17"/>
  <c r="BI61" i="17"/>
  <c r="AV55" i="17"/>
  <c r="CC60" i="8"/>
  <c r="AY61" i="17"/>
  <c r="AS54" i="17"/>
  <c r="BF76" i="17"/>
  <c r="CG72" i="8"/>
  <c r="CJ71" i="8"/>
  <c r="AY52" i="17"/>
  <c r="BF17" i="17"/>
  <c r="AS84" i="17"/>
  <c r="AY56" i="17"/>
  <c r="CE31" i="8"/>
  <c r="AR17" i="17"/>
  <c r="AQ52" i="17"/>
  <c r="CA66" i="8"/>
  <c r="AY27" i="17"/>
  <c r="BZ55" i="8"/>
  <c r="AS39" i="17"/>
  <c r="CF61" i="8"/>
  <c r="AQ76" i="17"/>
  <c r="CL54" i="8"/>
  <c r="BJ16" i="17"/>
  <c r="AX61" i="17"/>
  <c r="BJ17" i="17"/>
  <c r="BD76" i="17"/>
  <c r="CC30" i="8"/>
  <c r="BZ68" i="8"/>
  <c r="BZ30" i="8"/>
  <c r="CI45" i="8"/>
  <c r="CG52" i="8"/>
  <c r="BA87" i="17"/>
  <c r="CG87" i="8"/>
  <c r="BB45" i="17"/>
  <c r="BZ29" i="8"/>
  <c r="CO39" i="8"/>
  <c r="AR52" i="17"/>
  <c r="BA74" i="17"/>
  <c r="AZ72" i="17"/>
  <c r="CG60" i="8"/>
  <c r="AX73" i="17"/>
  <c r="AV54" i="17"/>
  <c r="CF79" i="8"/>
  <c r="CC67" i="8"/>
  <c r="AV58" i="17"/>
  <c r="AV46" i="17"/>
  <c r="BC72" i="17"/>
  <c r="BC16" i="17"/>
  <c r="CD50" i="8"/>
  <c r="BU37" i="8"/>
  <c r="BE86" i="17"/>
  <c r="AV43" i="17"/>
  <c r="BV67" i="8"/>
  <c r="BE59" i="17"/>
  <c r="CB54" i="8"/>
  <c r="CG31" i="8"/>
  <c r="CK31" i="8"/>
  <c r="CE52" i="8"/>
  <c r="CJ60" i="8"/>
  <c r="BH57" i="17"/>
  <c r="CI29" i="8"/>
  <c r="CG73" i="8"/>
  <c r="BE40" i="17"/>
  <c r="BE76" i="17"/>
  <c r="CK49" i="8"/>
  <c r="CK75" i="8"/>
  <c r="BX52" i="8"/>
  <c r="BC84" i="17"/>
  <c r="BJ88" i="17"/>
  <c r="AY54" i="17"/>
  <c r="AS77" i="17"/>
  <c r="AV26" i="17"/>
  <c r="BH56" i="17"/>
  <c r="CB72" i="8"/>
  <c r="BD61" i="17"/>
  <c r="CD60" i="8"/>
  <c r="CB50" i="8"/>
  <c r="CK74" i="8"/>
  <c r="CG67" i="8"/>
  <c r="BE47" i="17"/>
  <c r="BK36" i="17"/>
  <c r="BB17" i="17"/>
  <c r="BE42" i="17"/>
  <c r="BB85" i="17"/>
  <c r="CK71" i="8"/>
  <c r="CE69" i="8"/>
  <c r="BI72" i="17"/>
  <c r="CG83" i="8"/>
  <c r="AS74" i="17"/>
  <c r="BW54" i="8"/>
  <c r="BH60" i="17"/>
  <c r="CL50" i="8"/>
  <c r="BE43" i="17"/>
  <c r="BC88" i="17"/>
  <c r="AZ88" i="17"/>
  <c r="CB74" i="8"/>
  <c r="CA75" i="8"/>
  <c r="AQ17" i="17"/>
  <c r="CO40" i="8"/>
  <c r="CO51" i="8"/>
  <c r="BH21" i="17"/>
  <c r="BB21" i="17"/>
  <c r="CA71" i="8"/>
  <c r="CD75" i="8"/>
  <c r="AS60" i="17"/>
  <c r="BU59" i="8"/>
  <c r="CK72" i="8"/>
  <c r="CD61" i="8"/>
  <c r="CL75" i="8"/>
  <c r="BW60" i="8"/>
  <c r="AY62" i="17"/>
  <c r="CD51" i="8"/>
  <c r="CE74" i="8"/>
  <c r="AX74" i="17"/>
  <c r="CD31" i="8"/>
  <c r="CI35" i="8"/>
  <c r="CJ49" i="8"/>
  <c r="CI51" i="8"/>
  <c r="CD67" i="8"/>
  <c r="CG29" i="8"/>
  <c r="CN74" i="8"/>
  <c r="BF74" i="17"/>
  <c r="BF87" i="17"/>
  <c r="BG87" i="17"/>
  <c r="BK30" i="17"/>
  <c r="BB47" i="17"/>
  <c r="BE80" i="17"/>
  <c r="CM61" i="8"/>
  <c r="BJ61" i="17"/>
  <c r="CM87" i="8"/>
  <c r="BI73" i="17"/>
  <c r="AZ52" i="17"/>
  <c r="AY60" i="17"/>
  <c r="BY84" i="8"/>
  <c r="AS80" i="17"/>
  <c r="BZ54" i="8"/>
  <c r="BD88" i="17"/>
  <c r="CA67" i="8"/>
  <c r="CD72" i="8"/>
  <c r="BB61" i="17"/>
  <c r="AY53" i="17"/>
  <c r="CB55" i="8"/>
  <c r="CF41" i="8"/>
  <c r="BV31" i="8"/>
  <c r="CK61" i="8"/>
  <c r="CG56" i="8"/>
  <c r="CM72" i="8"/>
  <c r="AR87" i="17"/>
  <c r="BI88" i="17"/>
  <c r="BE27" i="17"/>
  <c r="CC58" i="8"/>
  <c r="AY45" i="17"/>
  <c r="BB80" i="17"/>
  <c r="BV51" i="8"/>
  <c r="BG74" i="17"/>
  <c r="BX75" i="8"/>
  <c r="BB87" i="17"/>
  <c r="CF35" i="8"/>
  <c r="CI39" i="8"/>
  <c r="BE19" i="17"/>
  <c r="BK76" i="17"/>
  <c r="BZ45" i="8"/>
  <c r="BV50" i="8"/>
  <c r="CF39" i="8"/>
  <c r="BG76" i="17"/>
  <c r="BC76" i="17"/>
  <c r="BV60" i="8"/>
  <c r="BG72" i="17"/>
  <c r="CM71" i="8"/>
  <c r="CD71" i="8"/>
  <c r="BV72" i="8"/>
  <c r="BB55" i="17"/>
  <c r="BE16" i="17"/>
  <c r="BH37" i="17"/>
  <c r="AY10" i="17"/>
  <c r="CA60" i="8"/>
  <c r="BV59" i="8"/>
  <c r="BC27" i="17"/>
  <c r="CB66" i="8"/>
  <c r="BC74" i="17"/>
  <c r="BW41" i="8"/>
  <c r="BZ59" i="8"/>
  <c r="BZ58" i="8"/>
  <c r="CB52" i="8"/>
  <c r="CD56" i="8"/>
  <c r="AU61" i="17"/>
  <c r="CH29" i="8"/>
  <c r="BE57" i="17"/>
  <c r="AY36" i="17"/>
  <c r="AZ27" i="17"/>
  <c r="BZ73" i="8"/>
  <c r="CO49" i="8"/>
  <c r="CL38" i="8"/>
  <c r="CN60" i="8"/>
  <c r="CK58" i="8"/>
  <c r="CG84" i="8"/>
  <c r="BY52" i="8"/>
  <c r="AY58" i="17"/>
  <c r="CA61" i="8"/>
  <c r="BY86" i="8"/>
  <c r="BB43" i="17"/>
  <c r="CO54" i="8"/>
  <c r="BV52" i="8"/>
  <c r="BJ73" i="17"/>
  <c r="CG71" i="8"/>
  <c r="AY88" i="17"/>
  <c r="CH67" i="8"/>
  <c r="CL71" i="8"/>
  <c r="CF38" i="8"/>
  <c r="AS19" i="17"/>
  <c r="CH74" i="8"/>
  <c r="CJ58" i="8"/>
  <c r="AQ16" i="17"/>
  <c r="AS21" i="17"/>
  <c r="BE9" i="17"/>
  <c r="BE89" i="17" s="1"/>
  <c r="BH58" i="17"/>
  <c r="BV37" i="8"/>
  <c r="AS67" i="17"/>
  <c r="CH73" i="8"/>
  <c r="CO75" i="8"/>
  <c r="CI49" i="8"/>
  <c r="CE75" i="8"/>
  <c r="BU60" i="8"/>
  <c r="CJ31" i="8"/>
  <c r="CH56" i="8"/>
  <c r="CE71" i="8"/>
  <c r="CM35" i="8"/>
  <c r="BJ46" i="17"/>
  <c r="BI18" i="17"/>
  <c r="AW80" i="17"/>
  <c r="AW67" i="17"/>
  <c r="CN83" i="8"/>
  <c r="AR35" i="17"/>
  <c r="BI69" i="17"/>
  <c r="CD40" i="8"/>
  <c r="BA46" i="17"/>
  <c r="AT53" i="17"/>
  <c r="BK54" i="17"/>
  <c r="AW10" i="17"/>
  <c r="AS79" i="17"/>
  <c r="BC19" i="17"/>
  <c r="BA86" i="17"/>
  <c r="AR20" i="17"/>
  <c r="AT68" i="17"/>
  <c r="BC36" i="17"/>
  <c r="CI31" i="8"/>
  <c r="AV37" i="17"/>
  <c r="CE76" i="8"/>
  <c r="AV73" i="17"/>
  <c r="BE35" i="17"/>
  <c r="CF55" i="8"/>
  <c r="CK69" i="8"/>
  <c r="BK87" i="17"/>
  <c r="BX58" i="8"/>
  <c r="CO42" i="8"/>
  <c r="BI41" i="17"/>
  <c r="BV49" i="8"/>
  <c r="AT76" i="17"/>
  <c r="BY79" i="8"/>
  <c r="BB10" i="17"/>
  <c r="CO35" i="8"/>
  <c r="CK30" i="8"/>
  <c r="BW69" i="8"/>
  <c r="AY19" i="17"/>
  <c r="BG18" i="17"/>
  <c r="BX50" i="8"/>
  <c r="BZ56" i="8"/>
  <c r="CF74" i="8"/>
  <c r="AZ38" i="17"/>
  <c r="CF36" i="8"/>
  <c r="AR36" i="17"/>
  <c r="AT55" i="17"/>
  <c r="AV47" i="17"/>
  <c r="AT16" i="17"/>
  <c r="AV42" i="17"/>
  <c r="CE50" i="8"/>
  <c r="BU72" i="8"/>
  <c r="BA88" i="17"/>
  <c r="CM56" i="8"/>
  <c r="CH38" i="8"/>
  <c r="BC20" i="17"/>
  <c r="AS17" i="17"/>
  <c r="AU44" i="17"/>
  <c r="BY55" i="8"/>
  <c r="AQ39" i="17"/>
  <c r="CE36" i="8"/>
  <c r="BD55" i="17"/>
  <c r="CA85" i="8"/>
  <c r="CL59" i="8"/>
  <c r="AT88" i="17"/>
  <c r="BU41" i="8"/>
  <c r="BB53" i="17"/>
  <c r="BD41" i="17"/>
  <c r="CH66" i="8"/>
  <c r="CC69" i="8"/>
  <c r="CL57" i="8"/>
  <c r="BG37" i="17"/>
  <c r="CI42" i="8"/>
  <c r="BU49" i="8"/>
  <c r="BI77" i="17"/>
  <c r="BZ44" i="8"/>
  <c r="AQ55" i="17"/>
  <c r="AS10" i="17"/>
  <c r="CC43" i="8"/>
  <c r="BH41" i="17"/>
  <c r="BE75" i="17"/>
  <c r="CL35" i="8"/>
  <c r="CA35" i="8"/>
  <c r="AT56" i="17"/>
  <c r="BE77" i="17"/>
  <c r="CH43" i="8"/>
  <c r="AW41" i="17"/>
  <c r="CI67" i="8"/>
  <c r="CD38" i="8"/>
  <c r="CJ54" i="8"/>
  <c r="CO68" i="8"/>
  <c r="BX54" i="8"/>
  <c r="AU88" i="17"/>
  <c r="AV72" i="17"/>
  <c r="BK31" i="17"/>
  <c r="AQ61" i="17"/>
  <c r="BA55" i="17"/>
  <c r="BE41" i="17"/>
  <c r="CI55" i="8"/>
  <c r="AT70" i="17"/>
  <c r="AR29" i="17"/>
  <c r="CO76" i="8"/>
  <c r="AQ42" i="17"/>
  <c r="AR27" i="17"/>
  <c r="BE11" i="17"/>
  <c r="CN87" i="8"/>
  <c r="BY61" i="8"/>
  <c r="BY75" i="8"/>
  <c r="CH61" i="8"/>
  <c r="BU43" i="8"/>
  <c r="BA68" i="17"/>
  <c r="AW30" i="17"/>
  <c r="CA79" i="8"/>
  <c r="AT18" i="17"/>
  <c r="CO36" i="8"/>
  <c r="CE35" i="8"/>
  <c r="AR79" i="17"/>
  <c r="BK58" i="17"/>
  <c r="AR68" i="17"/>
  <c r="BJ26" i="17"/>
  <c r="CC66" i="8"/>
  <c r="CH59" i="8"/>
  <c r="AU42" i="17"/>
  <c r="CH45" i="8"/>
  <c r="CI30" i="8"/>
  <c r="BV53" i="8"/>
  <c r="BA18" i="17"/>
  <c r="BB70" i="17"/>
  <c r="CL76" i="8"/>
  <c r="BV29" i="8"/>
  <c r="AY80" i="17"/>
  <c r="BV43" i="8"/>
  <c r="BV74" i="8"/>
  <c r="CI52" i="8"/>
  <c r="AS70" i="17"/>
  <c r="CA50" i="8"/>
  <c r="AV40" i="17"/>
  <c r="BJ56" i="17"/>
  <c r="AY18" i="17"/>
  <c r="AX18" i="17"/>
  <c r="BF60" i="17"/>
  <c r="AU57" i="17"/>
  <c r="BW29" i="8"/>
  <c r="BF36" i="17"/>
  <c r="BI58" i="17"/>
  <c r="AU27" i="17"/>
  <c r="BD77" i="17"/>
  <c r="BY54" i="8"/>
  <c r="AU10" i="17"/>
  <c r="BW68" i="8"/>
  <c r="CG42" i="8"/>
  <c r="AW42" i="17"/>
  <c r="CL37" i="8"/>
  <c r="BD11" i="17"/>
  <c r="BD43" i="17"/>
  <c r="CA59" i="8"/>
  <c r="BF39" i="17"/>
  <c r="BK86" i="17"/>
  <c r="BA44" i="17"/>
  <c r="AT74" i="17"/>
  <c r="BW58" i="8"/>
  <c r="AY37" i="17"/>
  <c r="BZ35" i="8"/>
  <c r="BI75" i="17"/>
  <c r="CE67" i="8"/>
  <c r="BY66" i="8"/>
  <c r="AX36" i="17"/>
  <c r="CO56" i="8"/>
  <c r="BJ60" i="17"/>
  <c r="BI11" i="17"/>
  <c r="CI61" i="8"/>
  <c r="BA37" i="17"/>
  <c r="CG51" i="8"/>
  <c r="CH86" i="8"/>
  <c r="CN58" i="8"/>
  <c r="BG30" i="17"/>
  <c r="CD69" i="8"/>
  <c r="BA60" i="17"/>
  <c r="CC79" i="8"/>
  <c r="CI71" i="8"/>
  <c r="AX58" i="17"/>
  <c r="CM29" i="8"/>
  <c r="CI79" i="8"/>
  <c r="AZ59" i="17"/>
  <c r="AX11" i="17"/>
  <c r="CE73" i="8"/>
  <c r="CK79" i="8"/>
  <c r="CD35" i="8"/>
  <c r="AY46" i="17"/>
  <c r="CO30" i="8"/>
  <c r="CK73" i="8"/>
  <c r="AV18" i="17"/>
  <c r="CK83" i="8"/>
  <c r="AW11" i="17"/>
  <c r="BC28" i="17"/>
  <c r="BE69" i="17"/>
  <c r="CH76" i="8"/>
  <c r="BF41" i="17"/>
  <c r="CC39" i="8"/>
  <c r="BV58" i="8"/>
  <c r="BJ10" i="17"/>
  <c r="CI75" i="8"/>
  <c r="AZ18" i="17"/>
  <c r="AW51" i="17"/>
  <c r="BZ39" i="8"/>
  <c r="CD53" i="8"/>
  <c r="BC56" i="17"/>
  <c r="CF57" i="8"/>
  <c r="BD40" i="17"/>
  <c r="BY37" i="8"/>
  <c r="BK51" i="17"/>
  <c r="AR31" i="17"/>
  <c r="AQ28" i="17"/>
  <c r="BI68" i="17"/>
  <c r="CA36" i="8"/>
  <c r="AW53" i="17"/>
  <c r="AQ36" i="17"/>
  <c r="BW50" i="8"/>
  <c r="AZ87" i="17"/>
  <c r="CE61" i="8"/>
  <c r="CB60" i="8"/>
  <c r="BV68" i="8"/>
  <c r="AZ29" i="17"/>
  <c r="BA17" i="17"/>
  <c r="AQ10" i="17"/>
  <c r="CM36" i="8"/>
  <c r="BH46" i="17"/>
  <c r="AW55" i="17"/>
  <c r="BG67" i="17"/>
  <c r="AQ57" i="17"/>
  <c r="BC80" i="17"/>
  <c r="CK36" i="8"/>
  <c r="AY84" i="17"/>
  <c r="AQ47" i="17"/>
  <c r="CA49" i="8"/>
  <c r="AR18" i="17"/>
  <c r="CC52" i="8"/>
  <c r="BF69" i="17"/>
  <c r="CF67" i="8"/>
  <c r="CK51" i="8"/>
  <c r="BH31" i="17"/>
  <c r="CE54" i="8"/>
  <c r="AR84" i="17"/>
  <c r="BD18" i="17"/>
  <c r="AU69" i="17"/>
  <c r="BU76" i="8"/>
  <c r="BD56" i="17"/>
  <c r="AX60" i="17"/>
  <c r="BW38" i="8"/>
  <c r="CF44" i="8"/>
  <c r="CI53" i="8"/>
  <c r="BA72" i="17"/>
  <c r="AU39" i="17"/>
  <c r="BA80" i="17"/>
  <c r="AV61" i="17"/>
  <c r="CD76" i="8"/>
  <c r="BI21" i="17"/>
  <c r="AX72" i="17"/>
  <c r="BJ79" i="17"/>
  <c r="BF77" i="17"/>
  <c r="AW39" i="17"/>
  <c r="BC86" i="17"/>
  <c r="CC54" i="8"/>
  <c r="CH55" i="8"/>
  <c r="BJ51" i="17"/>
  <c r="CF52" i="8"/>
  <c r="BD69" i="17"/>
  <c r="BX73" i="8"/>
  <c r="BH36" i="17"/>
  <c r="CD39" i="8"/>
  <c r="BX60" i="8"/>
  <c r="AV9" i="17"/>
  <c r="AV89" i="17" s="1"/>
  <c r="CK43" i="8"/>
  <c r="BG43" i="17"/>
  <c r="CC37" i="8"/>
  <c r="CB51" i="8"/>
  <c r="CJ84" i="8"/>
  <c r="BU67" i="8"/>
  <c r="AT31" i="17"/>
  <c r="AX87" i="17"/>
  <c r="BX76" i="8"/>
  <c r="AX85" i="17"/>
  <c r="AZ47" i="17"/>
  <c r="BI39" i="17"/>
  <c r="BH19" i="17"/>
  <c r="AZ45" i="17"/>
  <c r="CI57" i="8"/>
  <c r="AX9" i="17"/>
  <c r="AX89" i="17" s="1"/>
  <c r="AQ58" i="17"/>
  <c r="AZ19" i="17"/>
  <c r="BF21" i="17"/>
  <c r="BZ79" i="8"/>
  <c r="BV83" i="8"/>
  <c r="AW60" i="17"/>
  <c r="AY76" i="17"/>
  <c r="BJ69" i="17"/>
  <c r="CB53" i="8"/>
  <c r="AS69" i="17"/>
  <c r="BI42" i="17"/>
  <c r="CC44" i="8"/>
  <c r="CJ51" i="8"/>
  <c r="AT9" i="17"/>
  <c r="AT89" i="17" s="1"/>
  <c r="BW39" i="8"/>
  <c r="BH68" i="17"/>
  <c r="AS26" i="17"/>
  <c r="AV29" i="17"/>
  <c r="CO60" i="8"/>
  <c r="BJ52" i="17"/>
  <c r="CH41" i="8"/>
  <c r="AS87" i="17"/>
  <c r="AX38" i="17"/>
  <c r="BX30" i="8"/>
  <c r="AS41" i="17"/>
  <c r="BJ35" i="17"/>
  <c r="AZ39" i="17"/>
  <c r="CJ69" i="8"/>
  <c r="AQ80" i="17"/>
  <c r="BU29" i="8"/>
  <c r="AX76" i="17"/>
  <c r="AQ29" i="17"/>
  <c r="BU44" i="8"/>
  <c r="AY47" i="17"/>
  <c r="AZ79" i="17"/>
  <c r="AQ40" i="17"/>
  <c r="AR16" i="17"/>
  <c r="BJ36" i="17"/>
  <c r="BC77" i="17"/>
  <c r="BH61" i="17"/>
  <c r="BD26" i="17"/>
  <c r="BI43" i="17"/>
  <c r="BK67" i="17"/>
  <c r="BH74" i="17"/>
  <c r="BU52" i="8"/>
  <c r="BV36" i="8"/>
  <c r="CD68" i="8"/>
  <c r="AZ46" i="17"/>
  <c r="AT80" i="17"/>
  <c r="AS44" i="17"/>
  <c r="AY16" i="17"/>
  <c r="CK54" i="8"/>
  <c r="BB86" i="17"/>
  <c r="BC68" i="17"/>
  <c r="CH78" i="8"/>
  <c r="CO44" i="8"/>
  <c r="AU26" i="17"/>
  <c r="BJ67" i="17"/>
  <c r="CA73" i="8"/>
  <c r="BJ58" i="17"/>
  <c r="CB35" i="8"/>
  <c r="AR51" i="17"/>
  <c r="CH51" i="8"/>
  <c r="BG77" i="17"/>
  <c r="AX19" i="17"/>
  <c r="CD49" i="8"/>
  <c r="AQ74" i="17"/>
  <c r="BF37" i="17"/>
  <c r="BI47" i="17"/>
  <c r="BY69" i="8"/>
  <c r="CE72" i="8"/>
  <c r="CK87" i="8"/>
  <c r="BY71" i="8"/>
  <c r="CH72" i="8"/>
  <c r="BJ77" i="17"/>
  <c r="AU21" i="17"/>
  <c r="BI40" i="17"/>
  <c r="CC61" i="8"/>
  <c r="BX85" i="8"/>
  <c r="AY70" i="17"/>
  <c r="CD79" i="8"/>
  <c r="AW31" i="17"/>
  <c r="BE54" i="17"/>
  <c r="BK57" i="17"/>
  <c r="AZ58" i="17"/>
  <c r="BE67" i="17"/>
  <c r="BX79" i="8"/>
  <c r="AR38" i="17"/>
  <c r="BK42" i="17"/>
  <c r="CE44" i="8"/>
  <c r="BK62" i="17"/>
  <c r="BI67" i="17"/>
  <c r="CJ42" i="8"/>
  <c r="BK18" i="17"/>
  <c r="AQ20" i="17"/>
  <c r="CF37" i="8"/>
  <c r="BU38" i="8"/>
  <c r="AZ51" i="17"/>
  <c r="BB88" i="17"/>
  <c r="CK68" i="8"/>
  <c r="BK59" i="17"/>
  <c r="CO71" i="8"/>
  <c r="CG35" i="8"/>
  <c r="AW86" i="17"/>
  <c r="CG37" i="8"/>
  <c r="BK70" i="17"/>
  <c r="CE43" i="8"/>
  <c r="AV31" i="17"/>
  <c r="BU79" i="8"/>
  <c r="CG39" i="8"/>
  <c r="AU28" i="17"/>
  <c r="AU35" i="17"/>
  <c r="BB20" i="17"/>
  <c r="CN85" i="8"/>
  <c r="AW28" i="17"/>
  <c r="AV19" i="17"/>
  <c r="BI27" i="17"/>
  <c r="AX53" i="17"/>
  <c r="AS38" i="17"/>
  <c r="AX86" i="17"/>
  <c r="BF44" i="17"/>
  <c r="BJ76" i="17"/>
  <c r="AT40" i="17"/>
  <c r="BW67" i="8"/>
  <c r="AT61" i="17"/>
  <c r="BE58" i="17"/>
  <c r="AS47" i="17"/>
  <c r="BH40" i="17"/>
  <c r="CJ59" i="8"/>
  <c r="AT67" i="17"/>
  <c r="BZ66" i="8"/>
  <c r="AZ57" i="17"/>
  <c r="BC35" i="17"/>
  <c r="AS57" i="17"/>
  <c r="AZ56" i="17"/>
  <c r="CB78" i="8"/>
  <c r="BE73" i="17"/>
  <c r="BG80" i="17"/>
  <c r="AV38" i="17"/>
  <c r="CB67" i="8"/>
  <c r="AR67" i="17"/>
  <c r="CB36" i="8"/>
  <c r="AS28" i="17"/>
  <c r="BX66" i="8"/>
  <c r="BF28" i="17"/>
  <c r="CN67" i="8"/>
  <c r="CG41" i="8"/>
  <c r="AX17" i="17"/>
  <c r="CO78" i="8"/>
  <c r="AT11" i="17"/>
  <c r="AW19" i="17"/>
  <c r="BG39" i="17"/>
  <c r="CC53" i="8"/>
  <c r="CK60" i="8"/>
  <c r="AS45" i="17"/>
  <c r="BH59" i="17"/>
  <c r="BX71" i="8"/>
  <c r="BV56" i="8"/>
  <c r="CG55" i="8"/>
  <c r="BB29" i="17"/>
  <c r="BW42" i="8"/>
  <c r="CD44" i="8"/>
  <c r="AT58" i="17"/>
  <c r="BD52" i="17"/>
  <c r="AU17" i="17"/>
  <c r="BA39" i="17"/>
  <c r="BB42" i="17"/>
  <c r="BV45" i="8"/>
  <c r="AR44" i="17"/>
  <c r="BH87" i="17"/>
  <c r="CB49" i="8"/>
  <c r="CB45" i="8"/>
  <c r="BH47" i="17"/>
  <c r="AW87" i="17"/>
  <c r="AX42" i="17"/>
  <c r="BZ76" i="8"/>
  <c r="CE53" i="8"/>
  <c r="BG68" i="17"/>
  <c r="AY28" i="17"/>
  <c r="BD54" i="17"/>
  <c r="BI9" i="17"/>
  <c r="BI89" i="17" s="1"/>
  <c r="BF62" i="17"/>
  <c r="CK56" i="8"/>
  <c r="CD57" i="8"/>
  <c r="CC72" i="8"/>
  <c r="CC35" i="8"/>
  <c r="BZ42" i="8"/>
  <c r="BV85" i="8"/>
  <c r="AU19" i="17"/>
  <c r="AV56" i="17"/>
  <c r="BD9" i="17"/>
  <c r="BD89" i="17" s="1"/>
  <c r="BY39" i="8"/>
  <c r="AS72" i="17"/>
  <c r="AX16" i="17"/>
  <c r="BI26" i="17"/>
  <c r="CO72" i="8"/>
  <c r="AX41" i="17"/>
  <c r="BX35" i="8"/>
  <c r="AV77" i="17"/>
  <c r="AT19" i="17"/>
  <c r="CH79" i="8"/>
  <c r="CK86" i="8"/>
  <c r="CA41" i="8"/>
  <c r="BI20" i="17"/>
  <c r="CO37" i="8"/>
  <c r="AU58" i="17"/>
  <c r="AV84" i="17"/>
  <c r="BE46" i="17"/>
  <c r="AT79" i="17"/>
  <c r="BU58" i="8"/>
  <c r="BK10" i="17"/>
  <c r="CL74" i="8"/>
  <c r="CG61" i="8"/>
  <c r="BJ75" i="17"/>
  <c r="CD84" i="8"/>
  <c r="BY43" i="8"/>
  <c r="AU85" i="17"/>
  <c r="CI66" i="8"/>
  <c r="BG40" i="17"/>
  <c r="AQ75" i="17"/>
  <c r="BH38" i="17"/>
  <c r="BX41" i="8"/>
  <c r="AT10" i="17"/>
  <c r="CA74" i="8"/>
  <c r="AU16" i="17"/>
  <c r="BC26" i="17"/>
  <c r="CC36" i="8"/>
  <c r="CO50" i="8"/>
  <c r="AR62" i="17"/>
  <c r="CI76" i="8"/>
  <c r="BB38" i="17"/>
  <c r="BG54" i="17"/>
  <c r="BB59" i="17"/>
  <c r="BW59" i="8"/>
  <c r="BA28" i="17"/>
  <c r="BE55" i="17"/>
  <c r="AU53" i="17"/>
  <c r="CJ55" i="8"/>
  <c r="BG73" i="17"/>
  <c r="CF43" i="8"/>
  <c r="BW45" i="8"/>
  <c r="BX57" i="8"/>
  <c r="CM74" i="8"/>
  <c r="BH28" i="17"/>
  <c r="BW57" i="8"/>
  <c r="CL41" i="8"/>
  <c r="CB38" i="8"/>
  <c r="AR30" i="17"/>
  <c r="CB76" i="8"/>
  <c r="AR46" i="17"/>
  <c r="AW29" i="17"/>
  <c r="BE18" i="17"/>
  <c r="CE79" i="8"/>
  <c r="AQ41" i="17"/>
  <c r="CG57" i="8"/>
  <c r="BV30" i="8"/>
  <c r="AU18" i="17"/>
  <c r="BK41" i="17"/>
  <c r="AU11" i="17"/>
  <c r="BJ38" i="17"/>
  <c r="CF60" i="8"/>
  <c r="CB39" i="8"/>
  <c r="BK84" i="17"/>
  <c r="CN57" i="8"/>
  <c r="AR70" i="17"/>
  <c r="BF30" i="17"/>
  <c r="BZ52" i="8"/>
  <c r="BH30" i="17"/>
  <c r="CL51" i="8"/>
  <c r="CK52" i="8"/>
  <c r="CN56" i="8"/>
  <c r="CM84" i="8"/>
  <c r="BI51" i="17"/>
  <c r="BB52" i="17"/>
  <c r="AT29" i="17"/>
  <c r="BJ30" i="17"/>
  <c r="BK85" i="17"/>
  <c r="CG50" i="8"/>
  <c r="BJ37" i="17"/>
  <c r="AY73" i="17"/>
  <c r="BJ57" i="17"/>
  <c r="BG44" i="17"/>
  <c r="BE20" i="17"/>
  <c r="AT59" i="17"/>
  <c r="BD51" i="17"/>
  <c r="BF10" i="17"/>
  <c r="AW43" i="17"/>
  <c r="CJ66" i="8"/>
  <c r="CN84" i="8"/>
  <c r="AX56" i="17"/>
  <c r="BX49" i="8"/>
  <c r="AS35" i="17"/>
  <c r="BH39" i="17"/>
  <c r="CD37" i="8"/>
  <c r="AW45" i="17"/>
  <c r="BC87" i="17"/>
  <c r="CB69" i="8"/>
  <c r="BV69" i="8"/>
  <c r="AZ31" i="17"/>
  <c r="CE55" i="8"/>
  <c r="AR60" i="17"/>
  <c r="BE52" i="17"/>
  <c r="BG51" i="17"/>
  <c r="BF85" i="17"/>
  <c r="BZ43" i="8"/>
  <c r="AU56" i="17"/>
  <c r="CE39" i="8"/>
  <c r="CI73" i="8"/>
  <c r="BA26" i="17"/>
  <c r="CK35" i="8"/>
  <c r="AQ70" i="17"/>
  <c r="CM75" i="8"/>
  <c r="CF45" i="8"/>
  <c r="BI56" i="17"/>
  <c r="BX43" i="8"/>
  <c r="BC45" i="17"/>
  <c r="AQ86" i="17"/>
  <c r="BY60" i="8"/>
  <c r="AX37" i="17"/>
  <c r="CK59" i="8"/>
  <c r="AQ69" i="17"/>
  <c r="CA45" i="8"/>
  <c r="CE56" i="8"/>
  <c r="CH31" i="8"/>
  <c r="BD72" i="17"/>
  <c r="BU36" i="8"/>
  <c r="BG53" i="17"/>
  <c r="CE38" i="8"/>
  <c r="BC69" i="17"/>
  <c r="BD31" i="17"/>
  <c r="CN42" i="8"/>
  <c r="BI80" i="17"/>
  <c r="BD46" i="17"/>
  <c r="BG9" i="17"/>
  <c r="BG89" i="17" s="1"/>
  <c r="AU55" i="17"/>
  <c r="BA19" i="17"/>
  <c r="CD43" i="8"/>
  <c r="AT42" i="17"/>
  <c r="AV88" i="17"/>
  <c r="BG60" i="17"/>
  <c r="CJ41" i="8"/>
  <c r="BZ31" i="8"/>
  <c r="CE85" i="8"/>
  <c r="AT85" i="17"/>
  <c r="CB29" i="8"/>
  <c r="BI30" i="17"/>
  <c r="AZ85" i="17"/>
  <c r="BE70" i="17"/>
  <c r="CA58" i="8"/>
  <c r="BA59" i="17"/>
  <c r="AZ84" i="17"/>
  <c r="BK43" i="17"/>
  <c r="AV85" i="17"/>
  <c r="CL43" i="8"/>
  <c r="AV60" i="17"/>
  <c r="BH11" i="17"/>
  <c r="CB87" i="8"/>
  <c r="BZ41" i="8"/>
  <c r="AW57" i="17"/>
  <c r="CL72" i="8"/>
  <c r="BY87" i="8"/>
  <c r="BD70" i="17"/>
  <c r="BZ67" i="8"/>
  <c r="BK46" i="17"/>
  <c r="AZ36" i="17"/>
  <c r="BU86" i="8"/>
  <c r="BK68" i="17"/>
  <c r="AZ26" i="17"/>
  <c r="AS46" i="17"/>
  <c r="BD35" i="17"/>
  <c r="CD54" i="8"/>
  <c r="BG47" i="17"/>
  <c r="CA56" i="8"/>
  <c r="BW53" i="8"/>
  <c r="CN66" i="8"/>
  <c r="AY85" i="17"/>
  <c r="CC41" i="8"/>
  <c r="CE51" i="8"/>
  <c r="BA61" i="17"/>
  <c r="BY57" i="8"/>
  <c r="BH16" i="17"/>
  <c r="CN68" i="8"/>
  <c r="AZ53" i="17"/>
  <c r="CH54" i="8"/>
  <c r="BK52" i="17"/>
  <c r="AW26" i="17"/>
  <c r="CG40" i="8"/>
  <c r="CI58" i="8"/>
  <c r="BA20" i="17"/>
  <c r="BD21" i="17"/>
  <c r="CK84" i="8"/>
  <c r="BK88" i="17"/>
  <c r="BY45" i="8"/>
  <c r="BH18" i="17"/>
  <c r="BF70" i="17"/>
  <c r="BA10" i="17"/>
  <c r="BH85" i="17"/>
  <c r="AT21" i="17"/>
  <c r="CO66" i="8"/>
  <c r="AS68" i="17"/>
  <c r="AS20" i="17"/>
  <c r="CB79" i="8"/>
  <c r="CC38" i="8"/>
  <c r="CM86" i="8"/>
  <c r="AW59" i="17"/>
  <c r="AS29" i="17"/>
  <c r="AT87" i="17"/>
  <c r="AR61" i="17"/>
  <c r="BD16" i="17"/>
  <c r="CD83" i="8"/>
  <c r="AU52" i="17"/>
  <c r="AW69" i="17"/>
  <c r="BA54" i="17"/>
  <c r="AV17" i="17"/>
  <c r="CJ44" i="8"/>
  <c r="BA57" i="17"/>
  <c r="BU73" i="8"/>
  <c r="BC43" i="17"/>
  <c r="AS76" i="17"/>
  <c r="AW47" i="17"/>
  <c r="BJ9" i="17"/>
  <c r="BJ89" i="17" s="1"/>
  <c r="BK11" i="17"/>
  <c r="BA62" i="17"/>
  <c r="AU45" i="17"/>
  <c r="CF75" i="8"/>
  <c r="AZ35" i="17"/>
  <c r="CL44" i="8"/>
  <c r="AS59" i="17"/>
  <c r="AR57" i="17"/>
  <c r="CM66" i="8"/>
  <c r="CI41" i="8"/>
  <c r="BV79" i="8"/>
  <c r="BD30" i="17"/>
  <c r="BB19" i="17"/>
  <c r="AS75" i="17"/>
  <c r="AS51" i="17"/>
  <c r="BH17" i="17"/>
  <c r="BD73" i="17"/>
  <c r="AZ43" i="17"/>
  <c r="CG66" i="8"/>
  <c r="AV20" i="17"/>
  <c r="BF68" i="17"/>
  <c r="BA58" i="17"/>
  <c r="CL42" i="8"/>
  <c r="BI86" i="17"/>
  <c r="BY30" i="8"/>
  <c r="BK80" i="17"/>
  <c r="AV69" i="17"/>
  <c r="AR74" i="17"/>
  <c r="AX27" i="17"/>
  <c r="AU40" i="17"/>
  <c r="CA84" i="8"/>
  <c r="BG29" i="17"/>
  <c r="BU85" i="8"/>
  <c r="AY43" i="17"/>
  <c r="BV44" i="8"/>
  <c r="AS53" i="17"/>
  <c r="BA31" i="17"/>
  <c r="AZ62" i="17"/>
  <c r="BV35" i="8"/>
  <c r="CC59" i="8"/>
  <c r="CN72" i="8"/>
  <c r="BK61" i="17"/>
  <c r="BW76" i="8"/>
  <c r="BE31" i="17"/>
  <c r="BV55" i="8"/>
  <c r="BK73" i="17"/>
  <c r="CM52" i="8"/>
  <c r="BB26" i="17"/>
  <c r="AW40" i="17"/>
  <c r="BY29" i="8"/>
  <c r="CB37" i="8"/>
  <c r="AY55" i="17"/>
  <c r="CJ76" i="8"/>
  <c r="BH55" i="17"/>
  <c r="AR77" i="17"/>
  <c r="CN44" i="8"/>
  <c r="AS40" i="17"/>
  <c r="BY40" i="8"/>
  <c r="BJ87" i="17"/>
  <c r="CC74" i="8"/>
  <c r="AX70" i="17"/>
  <c r="BF9" i="17"/>
  <c r="BF89" i="17" s="1"/>
  <c r="AY17" i="17"/>
  <c r="CJ57" i="8"/>
  <c r="CB58" i="8"/>
  <c r="BE61" i="17"/>
  <c r="BE53" i="17"/>
  <c r="BE26" i="17"/>
  <c r="CO55" i="8"/>
  <c r="BD75" i="17"/>
  <c r="BJ18" i="17"/>
  <c r="BY59" i="8"/>
  <c r="BA85" i="17"/>
  <c r="AZ80" i="17"/>
  <c r="BW61" i="8"/>
  <c r="BF51" i="17"/>
  <c r="BZ57" i="8"/>
  <c r="BH80" i="17"/>
  <c r="CB30" i="8"/>
  <c r="BG31" i="17"/>
  <c r="AV67" i="17"/>
  <c r="BA53" i="17"/>
  <c r="BD58" i="17"/>
  <c r="BW72" i="8"/>
  <c r="BA42" i="17"/>
  <c r="BX51" i="8"/>
  <c r="AU47" i="17"/>
  <c r="BG52" i="17"/>
  <c r="AR43" i="17"/>
  <c r="BA9" i="17"/>
  <c r="BA89" i="17" s="1"/>
  <c r="AY42" i="17"/>
  <c r="AT72" i="17"/>
  <c r="BA84" i="17"/>
  <c r="CH69" i="8"/>
  <c r="CM67" i="8"/>
  <c r="BD59" i="17"/>
  <c r="BU83" i="8"/>
  <c r="AY35" i="17"/>
  <c r="CO79" i="8"/>
  <c r="BZ38" i="8"/>
  <c r="BE88" i="17"/>
  <c r="BU55" i="8"/>
  <c r="BB67" i="17"/>
  <c r="AS36" i="17"/>
  <c r="AX69" i="17"/>
  <c r="CH85" i="8"/>
  <c r="BH20" i="17"/>
  <c r="BB68" i="17"/>
  <c r="BG36" i="17"/>
  <c r="CF42" i="8"/>
  <c r="BX83" i="8"/>
  <c r="BD47" i="17"/>
  <c r="CC56" i="8"/>
  <c r="AQ72" i="17"/>
  <c r="CK57" i="8"/>
  <c r="AX30" i="17"/>
  <c r="CG36" i="8"/>
  <c r="BJ55" i="17"/>
  <c r="CE58" i="8"/>
  <c r="AR73" i="17"/>
  <c r="BD84" i="17"/>
  <c r="CA54" i="8"/>
  <c r="BG35" i="17"/>
  <c r="BA70" i="17"/>
  <c r="CI60" i="8"/>
  <c r="BV76" i="8"/>
  <c r="BF58" i="17"/>
  <c r="BB16" i="17"/>
  <c r="BF11" i="17"/>
  <c r="AZ60" i="17"/>
  <c r="BB74" i="17"/>
  <c r="BY31" i="8"/>
  <c r="AX62" i="17"/>
  <c r="BH75" i="17"/>
  <c r="BX38" i="8"/>
  <c r="CD45" i="8"/>
  <c r="BD45" i="17"/>
  <c r="BX42" i="8"/>
  <c r="AR40" i="17"/>
  <c r="BB9" i="17"/>
  <c r="BB89" i="17" s="1"/>
  <c r="BW74" i="8"/>
  <c r="CM43" i="8"/>
  <c r="AT28" i="17"/>
  <c r="CH36" i="8"/>
  <c r="BD10" i="17"/>
  <c r="BA67" i="17"/>
  <c r="BI16" i="17"/>
  <c r="CH60" i="8"/>
  <c r="BU68" i="8"/>
  <c r="BB40" i="17"/>
  <c r="CL31" i="8"/>
  <c r="BX53" i="8"/>
  <c r="BG11" i="17"/>
  <c r="BE36" i="17"/>
  <c r="AW16" i="17"/>
  <c r="BF53" i="17"/>
  <c r="CK39" i="8"/>
  <c r="BE62" i="17"/>
  <c r="CK40" i="8"/>
  <c r="BH10" i="17"/>
  <c r="CC78" i="8"/>
  <c r="BF56" i="17"/>
  <c r="BK27" i="17"/>
  <c r="AT44" i="17"/>
  <c r="BI79" i="17"/>
  <c r="AV68" i="17"/>
  <c r="CJ29" i="8"/>
  <c r="AX43" i="17"/>
  <c r="CF51" i="8"/>
  <c r="CK45" i="8"/>
  <c r="AW88" i="17"/>
  <c r="BH54" i="17"/>
  <c r="AU46" i="17"/>
  <c r="BX31" i="8"/>
  <c r="CJ73" i="8"/>
  <c r="CG75" i="8"/>
  <c r="AY75" i="17"/>
  <c r="BY51" i="8"/>
  <c r="AV27" i="17"/>
  <c r="CH84" i="8"/>
  <c r="CO29" i="8"/>
  <c r="BH72" i="17"/>
  <c r="BU51" i="8"/>
  <c r="AT35" i="17"/>
  <c r="AX57" i="17"/>
  <c r="BH62" i="17"/>
  <c r="CG54" i="8"/>
  <c r="BC47" i="17"/>
  <c r="CO45" i="8"/>
  <c r="BD86" i="17"/>
  <c r="BI52" i="17"/>
  <c r="AS56" i="17"/>
  <c r="BG56" i="17"/>
  <c r="BE28" i="17"/>
  <c r="BK38" i="17"/>
  <c r="AT46" i="17"/>
  <c r="BZ36" i="8"/>
  <c r="CN35" i="8"/>
  <c r="AR21" i="17"/>
  <c r="BZ78" i="8"/>
  <c r="BY68" i="8"/>
  <c r="AX26" i="17"/>
  <c r="BE39" i="17"/>
  <c r="BI85" i="17"/>
  <c r="CI68" i="8"/>
  <c r="CF50" i="8"/>
  <c r="AW74" i="17"/>
  <c r="BF52" i="17"/>
  <c r="CM68" i="8"/>
  <c r="BW49" i="8"/>
  <c r="AS73" i="17"/>
  <c r="CG53" i="8"/>
  <c r="BI84" i="17"/>
  <c r="AS27" i="17"/>
  <c r="AU75" i="17"/>
  <c r="CA83" i="8"/>
  <c r="AY9" i="17"/>
  <c r="AY89" i="17" s="1"/>
  <c r="AQ31" i="17"/>
  <c r="BD85" i="17"/>
  <c r="AQ38" i="17"/>
  <c r="BK29" i="17"/>
  <c r="AQ43" i="17"/>
  <c r="CC55" i="8"/>
  <c r="BI53" i="17"/>
  <c r="AX80" i="17"/>
  <c r="BE17" i="17"/>
  <c r="CG85" i="8"/>
  <c r="BD20" i="17"/>
  <c r="AW75" i="17"/>
  <c r="BI35" i="17"/>
  <c r="AW68" i="17"/>
  <c r="CI78" i="8"/>
  <c r="BC55" i="17"/>
  <c r="CH53" i="8"/>
  <c r="CE57" i="8"/>
  <c r="BE87" i="17"/>
  <c r="CI59" i="8"/>
  <c r="BZ37" i="8"/>
  <c r="BZ74" i="8"/>
  <c r="AS30" i="17"/>
  <c r="CM31" i="8"/>
  <c r="AY57" i="17"/>
  <c r="CC29" i="8"/>
  <c r="AZ44" i="17"/>
  <c r="CI40" i="8"/>
  <c r="BC54" i="17"/>
  <c r="BG70" i="17"/>
  <c r="BE44" i="17"/>
  <c r="AX51" i="17"/>
  <c r="BY42" i="8"/>
  <c r="CN54" i="8"/>
  <c r="AW20" i="17"/>
  <c r="CJ79" i="8"/>
  <c r="AR55" i="17"/>
  <c r="CC73" i="8"/>
  <c r="CN79" i="8"/>
  <c r="AY31" i="17"/>
  <c r="AX84" i="17"/>
  <c r="BX68" i="8"/>
  <c r="AT17" i="17"/>
  <c r="BC44" i="17"/>
  <c r="BJ53" i="17"/>
  <c r="CL67" i="8"/>
  <c r="CJ52" i="8"/>
  <c r="CJ72" i="8"/>
  <c r="CE29" i="8"/>
  <c r="CJ75" i="8"/>
  <c r="BI28" i="17"/>
  <c r="BJ84" i="17"/>
  <c r="BA77" i="17"/>
  <c r="AX20" i="17"/>
  <c r="CN51" i="8"/>
  <c r="AW79" i="17"/>
  <c r="CD85" i="8"/>
  <c r="BJ20" i="17"/>
  <c r="BG57" i="17"/>
  <c r="AW21" i="17"/>
  <c r="BF55" i="17"/>
  <c r="AX47" i="17"/>
  <c r="BB18" i="17"/>
  <c r="CN43" i="8"/>
  <c r="AT36" i="17"/>
  <c r="AY68" i="17"/>
  <c r="BG21" i="17"/>
  <c r="BU40" i="8"/>
  <c r="BB35" i="17"/>
  <c r="CH40" i="8"/>
  <c r="AU77" i="17"/>
  <c r="AU76" i="17"/>
  <c r="BF47" i="17"/>
  <c r="AU70" i="17"/>
  <c r="AZ61" i="17"/>
  <c r="BB28" i="17"/>
  <c r="BE30" i="17"/>
  <c r="BK28" i="17"/>
  <c r="AV36" i="17"/>
  <c r="CN53" i="8"/>
  <c r="BG62" i="17"/>
  <c r="BK47" i="17"/>
  <c r="AR45" i="17"/>
  <c r="AQ11" i="17"/>
  <c r="BK75" i="17"/>
  <c r="AT57" i="17"/>
  <c r="CI56" i="8"/>
  <c r="BH43" i="17"/>
  <c r="CN49" i="8"/>
  <c r="AV11" i="17"/>
  <c r="BD60" i="17"/>
  <c r="BU53" i="8"/>
  <c r="BZ75" i="8"/>
  <c r="BW30" i="8"/>
  <c r="BX45" i="8"/>
  <c r="CO67" i="8"/>
  <c r="AU20" i="17"/>
  <c r="AQ27" i="17"/>
  <c r="BK60" i="17"/>
  <c r="AU54" i="17"/>
  <c r="BX69" i="8"/>
  <c r="AY87" i="17"/>
  <c r="AY40" i="17"/>
  <c r="AS37" i="17"/>
  <c r="BD87" i="17"/>
  <c r="BB77" i="17"/>
  <c r="BY50" i="8"/>
  <c r="BG26" i="17"/>
  <c r="CL39" i="8"/>
  <c r="AT30" i="17"/>
  <c r="BJ44" i="17"/>
  <c r="CB83" i="8"/>
  <c r="CK50" i="8"/>
  <c r="BW52" i="8"/>
  <c r="CJ35" i="8"/>
  <c r="BA56" i="17"/>
  <c r="BZ72" i="8"/>
  <c r="BJ19" i="17"/>
  <c r="AX45" i="17"/>
  <c r="BZ61" i="8"/>
  <c r="AU43" i="17"/>
  <c r="CH42" i="8"/>
  <c r="AS85" i="17"/>
  <c r="AT51" i="17"/>
  <c r="CN52" i="8"/>
  <c r="CI69" i="8"/>
  <c r="CN76" i="8"/>
  <c r="AR41" i="17"/>
  <c r="CF49" i="8"/>
  <c r="BZ60" i="8"/>
  <c r="BV61" i="8"/>
  <c r="BF75" i="17"/>
  <c r="BC31" i="17"/>
  <c r="CH39" i="8"/>
  <c r="BC58" i="17"/>
  <c r="BA27" i="17"/>
  <c r="BA51" i="17"/>
  <c r="CD41" i="8"/>
  <c r="BW36" i="8"/>
  <c r="AS61" i="17"/>
  <c r="CJ53" i="8"/>
  <c r="CD29" i="8"/>
  <c r="BC59" i="17"/>
  <c r="CM49" i="8"/>
  <c r="CG74" i="8"/>
  <c r="AT27" i="17"/>
  <c r="AX46" i="17"/>
  <c r="CO74" i="8"/>
  <c r="AQ35" i="17"/>
  <c r="CG59" i="8"/>
  <c r="AW77" i="17"/>
  <c r="CN31" i="8"/>
  <c r="AW56" i="17"/>
  <c r="CM57" i="8"/>
  <c r="AU59" i="17"/>
  <c r="CL30" i="8"/>
  <c r="AZ21" i="17"/>
  <c r="BD74" i="17"/>
  <c r="BG84" i="17"/>
  <c r="BI29" i="17"/>
  <c r="BU75" i="8"/>
  <c r="BU71" i="8"/>
  <c r="BI38" i="17"/>
  <c r="BX39" i="8"/>
  <c r="BX78" i="8"/>
  <c r="BG42" i="17"/>
  <c r="CG76" i="8"/>
  <c r="AT77" i="17"/>
  <c r="CE30" i="8"/>
  <c r="AR19" i="17"/>
  <c r="BV71" i="8"/>
  <c r="AU36" i="17"/>
  <c r="BA36" i="17"/>
  <c r="BK26" i="17"/>
  <c r="AR11" i="17"/>
  <c r="AX54" i="17"/>
  <c r="BD27" i="17"/>
  <c r="AU84" i="17"/>
  <c r="CB31" i="8"/>
  <c r="BV57" i="8"/>
  <c r="AU62" i="17"/>
  <c r="CM79" i="8"/>
  <c r="BK19" i="17"/>
  <c r="BE51" i="17"/>
  <c r="AW85" i="17"/>
  <c r="AV86" i="17"/>
  <c r="AW72" i="17"/>
  <c r="BK45" i="17"/>
  <c r="AV35" i="17"/>
  <c r="BZ53" i="8"/>
  <c r="BH9" i="17"/>
  <c r="BH89" i="17" s="1"/>
  <c r="AS62" i="17"/>
  <c r="AV45" i="17"/>
  <c r="CB59" i="8"/>
  <c r="AZ54" i="17"/>
  <c r="BB56" i="17"/>
  <c r="CK78" i="8"/>
  <c r="BY41" i="8"/>
  <c r="BH86" i="17"/>
  <c r="AT39" i="17"/>
  <c r="CC76" i="8"/>
  <c r="CE83" i="8"/>
  <c r="AW9" i="17"/>
  <c r="AW89" i="17" s="1"/>
  <c r="CK44" i="8"/>
  <c r="CO43" i="8"/>
  <c r="AY79" i="17"/>
  <c r="CC50" i="8"/>
  <c r="CF76" i="8"/>
  <c r="CD36" i="8"/>
  <c r="BK44" i="17"/>
  <c r="AQ37" i="17"/>
  <c r="CM59" i="8"/>
  <c r="BH53" i="17"/>
  <c r="CG44" i="8"/>
  <c r="BW78" i="8"/>
  <c r="BF31" i="17"/>
  <c r="AQ9" i="17"/>
  <c r="AQ89" i="17" s="1"/>
  <c r="CD58" i="8"/>
  <c r="CJ68" i="8"/>
  <c r="BW35" i="8"/>
  <c r="BG86" i="17"/>
  <c r="CG45" i="8"/>
  <c r="BJ28" i="17"/>
  <c r="AV53" i="17"/>
  <c r="AV41" i="17"/>
  <c r="BK55" i="17"/>
  <c r="CK37" i="8"/>
  <c r="CJ61" i="8"/>
  <c r="BJ11" i="17"/>
  <c r="CJ38" i="8"/>
  <c r="BE45" i="17"/>
  <c r="AZ30" i="17"/>
  <c r="AX55" i="17"/>
  <c r="BG41" i="17"/>
  <c r="BA76" i="17"/>
  <c r="BD80" i="17"/>
  <c r="AV57" i="17"/>
  <c r="BD37" i="17"/>
  <c r="AV30" i="17"/>
  <c r="CN38" i="8"/>
  <c r="AR86" i="17"/>
  <c r="AR53" i="17"/>
  <c r="BG61" i="17"/>
  <c r="CA57" i="8"/>
  <c r="BH76" i="17"/>
  <c r="CF31" i="8"/>
  <c r="CG69" i="8"/>
  <c r="AQ18" i="17"/>
  <c r="CN40" i="8"/>
  <c r="AY67" i="17"/>
  <c r="AT38" i="17"/>
  <c r="BY56" i="8"/>
  <c r="BB41" i="17"/>
  <c r="BE37" i="17"/>
  <c r="CO41" i="8"/>
  <c r="CC40" i="8"/>
  <c r="CA38" i="8"/>
  <c r="BI37" i="17"/>
  <c r="BW66" i="8"/>
  <c r="BV38" i="8"/>
  <c r="BA47" i="17"/>
  <c r="CD73" i="8"/>
  <c r="AR58" i="17"/>
  <c r="AR88" i="17"/>
  <c r="CF58" i="8"/>
  <c r="BJ47" i="17"/>
  <c r="AT69" i="17"/>
  <c r="CL55" i="8"/>
  <c r="BC39" i="17"/>
  <c r="AR26" i="17"/>
  <c r="CK67" i="8"/>
  <c r="BD17" i="17"/>
  <c r="CA72" i="8"/>
  <c r="CA52" i="8"/>
  <c r="AW73" i="17"/>
  <c r="BG19" i="17"/>
  <c r="CG78" i="8"/>
  <c r="CL69" i="8"/>
  <c r="CK55" i="8"/>
  <c r="BG85" i="17"/>
  <c r="CL66" i="8"/>
  <c r="AQ56" i="17"/>
  <c r="CK76" i="8"/>
  <c r="BE29" i="17"/>
  <c r="BJ41" i="17"/>
  <c r="AW54" i="17"/>
  <c r="AV16" i="17"/>
  <c r="CN36" i="8"/>
  <c r="BY78" i="8"/>
  <c r="CM55" i="8"/>
  <c r="AY59" i="17"/>
  <c r="CM45" i="8"/>
  <c r="AU60" i="17"/>
  <c r="BU45" i="8"/>
  <c r="BC42" i="17"/>
  <c r="CD55" i="8"/>
  <c r="BZ71" i="8"/>
  <c r="CJ30" i="8"/>
  <c r="CB42" i="8"/>
  <c r="BF73" i="17"/>
  <c r="BV86" i="8"/>
  <c r="CC49" i="8"/>
  <c r="CG49" i="8"/>
  <c r="CI72" i="8"/>
  <c r="BI62" i="17"/>
  <c r="AW27" i="17"/>
  <c r="CL36" i="8"/>
  <c r="BX87" i="8"/>
  <c r="AW46" i="17"/>
  <c r="BK40" i="17"/>
  <c r="BF57" i="17"/>
  <c r="AX10" i="17"/>
  <c r="BC61" i="17"/>
  <c r="BY74" i="8"/>
  <c r="AR69" i="17"/>
  <c r="BB37" i="17"/>
  <c r="BX40" i="8"/>
  <c r="AZ70" i="17"/>
  <c r="CO73" i="8"/>
  <c r="BI54" i="17"/>
  <c r="AX79" i="17"/>
  <c r="CM54" i="8"/>
  <c r="AR59" i="17"/>
  <c r="AX21" i="17"/>
  <c r="CO38" i="8"/>
  <c r="AZ10" i="17"/>
  <c r="BJ62" i="17"/>
  <c r="BH77" i="17"/>
  <c r="AY29" i="17"/>
  <c r="CM69" i="8"/>
  <c r="CE68" i="8"/>
  <c r="AV79" i="17"/>
  <c r="AU29" i="17"/>
  <c r="CM44" i="8"/>
  <c r="BE10" i="17"/>
  <c r="AQ68" i="17"/>
  <c r="BD68" i="17"/>
  <c r="AS55" i="17"/>
  <c r="CN59" i="8"/>
  <c r="BK53" i="17"/>
  <c r="CF72" i="8"/>
  <c r="AX44" i="17"/>
  <c r="AR39" i="17"/>
  <c r="AU37" i="17"/>
  <c r="BC62" i="17"/>
  <c r="CG86" i="8"/>
  <c r="BF54" i="17"/>
  <c r="BZ51" i="8"/>
  <c r="BG75" i="17"/>
  <c r="AQ45" i="17"/>
  <c r="AW38" i="17"/>
  <c r="BA75" i="17"/>
  <c r="AU74" i="17"/>
  <c r="CE37" i="8"/>
  <c r="BE38" i="17"/>
  <c r="BZ69" i="8"/>
  <c r="CO69" i="8"/>
  <c r="CE60" i="8"/>
  <c r="CF53" i="8"/>
  <c r="AU68" i="17"/>
  <c r="AQ85" i="17"/>
  <c r="CH37" i="8"/>
  <c r="AQ21" i="17"/>
  <c r="BC75" i="17"/>
  <c r="CA43" i="8"/>
  <c r="BA69" i="17"/>
  <c r="BC85" i="17"/>
  <c r="AW17" i="17"/>
  <c r="AY44" i="17"/>
  <c r="AT47" i="17"/>
  <c r="CA39" i="8"/>
  <c r="BH88" i="17"/>
  <c r="BX56" i="8"/>
  <c r="AR37" i="17"/>
  <c r="CL49" i="8"/>
  <c r="BC38" i="17"/>
  <c r="BV78" i="8"/>
  <c r="CI54" i="8"/>
  <c r="CB40" i="8"/>
  <c r="BJ85" i="17"/>
  <c r="BH44" i="17"/>
  <c r="BC73" i="17"/>
  <c r="CN71" i="8"/>
  <c r="CH68" i="8"/>
  <c r="AZ76" i="17"/>
  <c r="BA21" i="17"/>
  <c r="BV42" i="8"/>
  <c r="BA79" i="17"/>
  <c r="AW62" i="17"/>
  <c r="CN45" i="8"/>
  <c r="BH52" i="17"/>
  <c r="BF80" i="17"/>
  <c r="BD19" i="17"/>
  <c r="CC42" i="8"/>
  <c r="BF26" i="17"/>
  <c r="BV73" i="8"/>
  <c r="BJ59" i="17"/>
  <c r="AS58" i="17"/>
  <c r="BC21" i="17"/>
  <c r="BF35" i="17"/>
  <c r="AY74" i="17"/>
  <c r="BG55" i="17"/>
  <c r="BI60" i="17"/>
  <c r="CA76" i="8"/>
  <c r="BK21" i="17"/>
  <c r="BF43" i="17"/>
  <c r="BB46" i="17"/>
  <c r="AZ11" i="17"/>
  <c r="CB56" i="8"/>
  <c r="AV39" i="17"/>
  <c r="CJ87" i="8"/>
  <c r="BX86" i="8"/>
  <c r="BE74" i="17"/>
  <c r="CM60" i="8"/>
  <c r="AY41" i="17"/>
  <c r="AY21" i="17"/>
  <c r="BK20" i="17"/>
  <c r="CO59" i="8"/>
  <c r="BF40" i="17"/>
  <c r="BI31" i="17"/>
  <c r="AS11" i="17"/>
  <c r="CN37" i="8"/>
  <c r="AQ30" i="17"/>
  <c r="CC68" i="8"/>
  <c r="AR85" i="17"/>
  <c r="BE68" i="17"/>
  <c r="BK35" i="17"/>
  <c r="AZ41" i="17"/>
  <c r="BI46" i="17"/>
  <c r="CL78" i="8"/>
  <c r="AX67" i="17"/>
  <c r="BW31" i="8"/>
  <c r="CA40" i="8"/>
  <c r="BJ70" i="17"/>
  <c r="AW52" i="17"/>
  <c r="AT45" i="17"/>
  <c r="AQ51" i="17"/>
  <c r="AR72" i="17"/>
  <c r="BV84" i="8"/>
  <c r="BB69" i="17"/>
  <c r="CL79" i="8"/>
  <c r="CH75" i="8"/>
  <c r="BF16" i="17"/>
  <c r="CD87" i="8"/>
  <c r="BG59" i="17"/>
  <c r="CE42" i="8"/>
  <c r="AT41" i="17"/>
  <c r="BJ27" i="17"/>
  <c r="AV75" i="17"/>
  <c r="AU51" i="17"/>
  <c r="CN39" i="8"/>
  <c r="AX88" i="17"/>
  <c r="BH67" i="17"/>
  <c r="CB86" i="8"/>
  <c r="BI55" i="17"/>
  <c r="CC71" i="8"/>
  <c r="BU84" i="8"/>
  <c r="CN41" i="8"/>
  <c r="BA43" i="17"/>
  <c r="AZ67" i="17"/>
  <c r="BJ31" i="17"/>
  <c r="BH27" i="17"/>
  <c r="AQ67" i="17"/>
  <c r="BF86" i="17"/>
  <c r="AY11" i="17"/>
  <c r="AQ62" i="17"/>
  <c r="AZ42" i="17"/>
  <c r="BB72" i="17"/>
  <c r="AR9" i="17"/>
  <c r="AR89" i="17" s="1"/>
  <c r="BU35" i="8"/>
  <c r="BW51" i="8"/>
  <c r="BU57" i="8"/>
  <c r="BB73" i="17"/>
  <c r="AX77" i="17"/>
  <c r="BC67" i="17"/>
  <c r="BW71" i="8"/>
  <c r="CK42" i="8"/>
  <c r="BC79" i="17"/>
  <c r="BX61" i="8"/>
  <c r="BJ45" i="17"/>
  <c r="AQ53" i="17"/>
  <c r="CO53" i="8"/>
  <c r="BI76" i="17"/>
  <c r="BY36" i="8"/>
  <c r="CF40" i="8"/>
  <c r="BJ42" i="17"/>
  <c r="CK85" i="8"/>
  <c r="BB57" i="17"/>
  <c r="BA30" i="17"/>
  <c r="BI10" i="17"/>
  <c r="BE21" i="17"/>
  <c r="BJ39" i="17"/>
  <c r="BH35" i="17"/>
  <c r="BU61" i="8"/>
  <c r="BC53" i="17"/>
  <c r="BF46" i="17"/>
  <c r="BB79" i="17"/>
  <c r="BD29" i="17"/>
  <c r="CG58" i="8"/>
  <c r="BA16" i="17"/>
  <c r="CH49" i="8"/>
  <c r="CG38" i="8"/>
  <c r="AT20" i="17"/>
  <c r="CE86" i="8"/>
  <c r="AZ86" i="17"/>
  <c r="CF54" i="8"/>
  <c r="BB27" i="17"/>
  <c r="CA86" i="8"/>
  <c r="BF42" i="17"/>
  <c r="BZ49" i="8"/>
  <c r="BU78" i="8"/>
  <c r="BA35" i="17"/>
  <c r="AV59" i="17"/>
  <c r="AV21" i="17"/>
  <c r="BC37" i="17"/>
  <c r="AZ77" i="17"/>
  <c r="CM39" i="8"/>
  <c r="BI45" i="17"/>
  <c r="CN30" i="8"/>
  <c r="AX29" i="17"/>
  <c r="CA29" i="8"/>
  <c r="AW37" i="17"/>
  <c r="CJ39" i="8"/>
  <c r="BC10" i="17"/>
  <c r="BF27" i="17"/>
  <c r="BX84" i="8"/>
  <c r="CN69" i="8"/>
  <c r="CN29" i="8"/>
  <c r="AV76" i="17"/>
  <c r="BA29" i="17"/>
  <c r="CJ40" i="8"/>
  <c r="BX55" i="8"/>
  <c r="CN78" i="8"/>
  <c r="AW44" i="17"/>
  <c r="CJ36" i="8"/>
  <c r="CE49" i="8"/>
  <c r="BJ21" i="17"/>
  <c r="AR54" i="17"/>
  <c r="CH44" i="8"/>
  <c r="BC57" i="17"/>
  <c r="BX36" i="8"/>
  <c r="CI37" i="8"/>
  <c r="CA87" i="8"/>
  <c r="BX72" i="8"/>
  <c r="AV28" i="17"/>
  <c r="CE45" i="8"/>
  <c r="AR10" i="17"/>
  <c r="BW75" i="8"/>
  <c r="BF18" i="17"/>
  <c r="BJ40" i="17"/>
  <c r="BH73" i="17"/>
  <c r="BY73" i="8"/>
  <c r="BC18" i="17"/>
  <c r="CF73" i="8"/>
  <c r="CC31" i="8"/>
  <c r="AS88" i="17"/>
  <c r="BU54" i="8"/>
  <c r="AS42" i="17"/>
  <c r="CM38" i="8"/>
  <c r="BD38" i="17"/>
  <c r="BZ40" i="8"/>
  <c r="BF20" i="17"/>
  <c r="BU87" i="8"/>
  <c r="CF56" i="8"/>
  <c r="BD28" i="17"/>
  <c r="CE40" i="8"/>
  <c r="BE72" i="17"/>
  <c r="BY76" i="8"/>
  <c r="AX39" i="17"/>
  <c r="BC17" i="17"/>
  <c r="CD30" i="8"/>
  <c r="BA41" i="17"/>
  <c r="AV44" i="17"/>
  <c r="BU74" i="8"/>
  <c r="AU41" i="17"/>
  <c r="BC52" i="17"/>
  <c r="CG79" i="8"/>
  <c r="AY69" i="17"/>
  <c r="CB73" i="8"/>
  <c r="BA38" i="17"/>
  <c r="AX31" i="17"/>
  <c r="BH42" i="17"/>
  <c r="AS18" i="17"/>
  <c r="AY30" i="17"/>
  <c r="CI43" i="8"/>
  <c r="BB11" i="17"/>
  <c r="CA55" i="8"/>
  <c r="BD39" i="17"/>
  <c r="BW79" i="8"/>
  <c r="AR47" i="17"/>
  <c r="CE78" i="8"/>
  <c r="BW37" i="8"/>
  <c r="AQ19" i="17"/>
  <c r="CM50" i="8"/>
  <c r="BB84" i="17"/>
  <c r="CB84" i="8"/>
  <c r="AZ55" i="17"/>
  <c r="CL56" i="8"/>
  <c r="AX59" i="17"/>
  <c r="AW84" i="17"/>
  <c r="BW43" i="8"/>
  <c r="BI59" i="17"/>
  <c r="BV66" i="8"/>
  <c r="CL29" i="8"/>
  <c r="AS43" i="17"/>
  <c r="BC70" i="17"/>
  <c r="BB36" i="17"/>
  <c r="AZ37" i="17"/>
  <c r="CA53" i="8"/>
  <c r="CF66" i="8"/>
  <c r="CJ74" i="8"/>
  <c r="CC45" i="8"/>
  <c r="CJ83" i="8"/>
  <c r="AQ87" i="17"/>
  <c r="BF38" i="17"/>
  <c r="BC51" i="17"/>
  <c r="BB76" i="17"/>
  <c r="CB85" i="8"/>
  <c r="AW18" i="17"/>
  <c r="CL58" i="8"/>
  <c r="AW35" i="17"/>
  <c r="AX68" i="17"/>
  <c r="BB54" i="17"/>
  <c r="CM83" i="8"/>
  <c r="AY26" i="17"/>
  <c r="CI38" i="8"/>
  <c r="BY44" i="8"/>
  <c r="BG10" i="17"/>
  <c r="CN50" i="8"/>
  <c r="CI36" i="8"/>
  <c r="AR56" i="17"/>
  <c r="CA31" i="8"/>
  <c r="BW40" i="8"/>
  <c r="AZ9" i="17"/>
  <c r="AZ89" i="17" s="1"/>
  <c r="CM30" i="8"/>
  <c r="AV52" i="17"/>
  <c r="AU9" i="17"/>
  <c r="AU89" i="17" s="1"/>
  <c r="AQ46" i="17"/>
  <c r="CB61" i="8"/>
  <c r="BW56" i="8"/>
  <c r="CB71" i="8"/>
  <c r="BC9" i="17"/>
  <c r="BC89" i="17" s="1"/>
  <c r="CJ50" i="8"/>
  <c r="CF30" i="8"/>
  <c r="CH30" i="8"/>
  <c r="BB60" i="17"/>
  <c r="CK29" i="8"/>
  <c r="CH52" i="8"/>
  <c r="BX29" i="8"/>
  <c r="CO61" i="8"/>
  <c r="BH29" i="17"/>
  <c r="BW55" i="8"/>
  <c r="AZ40" i="17"/>
  <c r="BG58" i="17"/>
  <c r="BG17" i="17"/>
  <c r="AU38" i="17"/>
  <c r="CA42" i="8"/>
  <c r="BI74" i="17"/>
  <c r="CM73" i="8"/>
  <c r="AW58" i="17"/>
  <c r="BI57" i="17"/>
  <c r="CG30" i="8"/>
  <c r="CO57" i="8"/>
  <c r="AX35" i="17"/>
  <c r="AY51" i="17"/>
  <c r="BY85" i="8"/>
  <c r="BF29" i="17"/>
  <c r="AU79" i="17"/>
  <c r="BK16" i="17"/>
  <c r="CE59" i="8"/>
  <c r="BK37" i="17"/>
  <c r="CD52" i="8"/>
  <c r="BW44" i="8"/>
  <c r="AT86" i="17"/>
  <c r="CI44" i="8"/>
  <c r="BF61" i="17"/>
  <c r="BA45" i="17"/>
  <c r="CN86" i="8"/>
  <c r="BU66" i="8"/>
  <c r="CB68" i="8"/>
  <c r="CE84" i="8"/>
  <c r="BY38" i="8"/>
  <c r="AQ79" i="17"/>
  <c r="BA11" i="17"/>
  <c r="CF59" i="8"/>
  <c r="AW36" i="17"/>
  <c r="CB75" i="8"/>
  <c r="CL40" i="8"/>
  <c r="BC46" i="17"/>
  <c r="BJ43" i="17"/>
  <c r="CM40" i="8"/>
  <c r="AR28" i="17"/>
  <c r="BH79" i="17"/>
  <c r="AZ69" i="17"/>
  <c r="AY77" i="17"/>
  <c r="BY67" i="8"/>
  <c r="AV70" i="17"/>
  <c r="CB41" i="8"/>
  <c r="BH51" i="17"/>
  <c r="CI50" i="8"/>
  <c r="BK69" i="17"/>
  <c r="BV75" i="8"/>
  <c r="AZ75" i="17"/>
  <c r="BC30" i="17"/>
  <c r="BE85" i="17"/>
  <c r="AQ44" i="17"/>
  <c r="AY20" i="17"/>
  <c r="BH70" i="17"/>
  <c r="AT26" i="17"/>
  <c r="BZ50" i="8"/>
  <c r="BU50" i="8"/>
  <c r="CD66" i="8"/>
  <c r="AQ26" i="17"/>
  <c r="AZ28" i="17"/>
  <c r="CL60" i="8"/>
  <c r="AV74" i="17"/>
  <c r="BD67" i="17"/>
  <c r="BY83" i="8"/>
  <c r="AV62" i="17"/>
  <c r="CM37" i="8"/>
  <c r="BU69" i="8"/>
  <c r="BK77" i="17"/>
  <c r="BX37" i="8"/>
  <c r="AQ59" i="17"/>
  <c r="AS16" i="17"/>
  <c r="CF68" i="8"/>
  <c r="AW61" i="17"/>
  <c r="AT75" i="17"/>
  <c r="AS31" i="17"/>
  <c r="AV10" i="17"/>
  <c r="BD53" i="17"/>
  <c r="AT62" i="17"/>
  <c r="AY86" i="17"/>
  <c r="AY39" i="17"/>
  <c r="AQ73" i="17"/>
  <c r="CA44" i="8"/>
  <c r="AU30" i="17"/>
  <c r="CJ85" i="8"/>
  <c r="BJ72" i="17"/>
  <c r="AX40" i="17"/>
  <c r="CB57" i="8"/>
  <c r="BV39" i="8"/>
  <c r="CF78" i="8"/>
  <c r="BF59" i="17"/>
  <c r="BB44" i="17"/>
  <c r="CJ86" i="8"/>
  <c r="CL52" i="8"/>
  <c r="AV51" i="17"/>
  <c r="AU86" i="17"/>
  <c r="BG45" i="17"/>
  <c r="BC60" i="17"/>
  <c r="CH50" i="8"/>
  <c r="BY72" i="8"/>
  <c r="BE79" i="17"/>
  <c r="BJ54" i="17"/>
  <c r="CL45" i="8"/>
  <c r="CD78" i="8"/>
  <c r="BJ74" i="17"/>
  <c r="AT54" i="17"/>
  <c r="CB43" i="8"/>
  <c r="AR75" i="17"/>
  <c r="CD59" i="8"/>
  <c r="BK79" i="17"/>
  <c r="CN61" i="8"/>
  <c r="CJ67" i="8"/>
  <c r="BB39" i="17"/>
  <c r="BH45" i="17"/>
  <c r="BI36" i="17"/>
  <c r="CH58" i="8"/>
  <c r="CK66" i="8"/>
  <c r="BG28" i="17"/>
  <c r="AZ68" i="17"/>
  <c r="CA51" i="8"/>
  <c r="BV87" i="8"/>
  <c r="BW73" i="8"/>
  <c r="AX52" i="17"/>
  <c r="BI19" i="17"/>
  <c r="AU80" i="17"/>
  <c r="BD57" i="17"/>
  <c r="AX28" i="17"/>
  <c r="AY38" i="17"/>
  <c r="AQ88" i="17"/>
  <c r="BB58" i="17"/>
  <c r="AT60" i="17"/>
  <c r="CL73" i="8"/>
  <c r="AT37" i="17"/>
  <c r="AS86" i="17"/>
  <c r="AQ60" i="17"/>
  <c r="BA40" i="17"/>
  <c r="CC75" i="8"/>
  <c r="AQ77" i="17"/>
  <c r="CH57" i="8"/>
  <c r="AT84" i="17"/>
  <c r="BU31" i="8"/>
  <c r="CJ56" i="8"/>
  <c r="CL53" i="8"/>
  <c r="BK56" i="17"/>
  <c r="CH71" i="8"/>
  <c r="AS52" i="17"/>
  <c r="CM41" i="8"/>
  <c r="AV80" i="17"/>
  <c r="CM51" i="8"/>
  <c r="CL68" i="8"/>
  <c r="BD42" i="17"/>
  <c r="BJ80" i="17"/>
  <c r="AZ20" i="17"/>
  <c r="CA78" i="8"/>
  <c r="BH84" i="17"/>
  <c r="AR80" i="17"/>
  <c r="BJ86" i="17"/>
  <c r="AU73" i="17"/>
  <c r="BF79" i="17"/>
  <c r="CM58" i="8"/>
  <c r="BE84" i="17"/>
  <c r="CH83" i="8"/>
  <c r="BG46" i="17"/>
  <c r="BC40" i="17"/>
  <c r="BI87" i="17"/>
  <c r="CD74" i="8"/>
  <c r="BK17" i="17"/>
  <c r="BI44" i="17"/>
  <c r="BF67" i="17"/>
  <c r="BC11" i="17"/>
  <c r="AT73" i="17"/>
  <c r="CA68" i="8"/>
  <c r="BF72" i="17"/>
  <c r="BK72" i="17"/>
  <c r="CH35" i="8"/>
  <c r="BU39" i="8"/>
  <c r="AZ17" i="17"/>
  <c r="BC41" i="17"/>
  <c r="BB31" i="17"/>
  <c r="BG38" i="17"/>
  <c r="CO58" i="8"/>
  <c r="CD42" i="8"/>
  <c r="BU30" i="8"/>
  <c r="BG20" i="17"/>
  <c r="BG69" i="17"/>
  <c r="AU67" i="17"/>
  <c r="CF71" i="8"/>
  <c r="BD44" i="17"/>
  <c r="BE60" i="17"/>
  <c r="AT43" i="17"/>
  <c r="AW70" i="17"/>
  <c r="AU31" i="17"/>
  <c r="CC51" i="8"/>
  <c r="BF19" i="17"/>
  <c r="BY53" i="8"/>
  <c r="CL61" i="8"/>
  <c r="BG79" i="17"/>
  <c r="CM53" i="8"/>
  <c r="BB30" i="17"/>
  <c r="BD36" i="17"/>
  <c r="BK39" i="17"/>
  <c r="BV41" i="8"/>
  <c r="AR42" i="17"/>
  <c r="CI74" i="8"/>
  <c r="AZ16" i="17"/>
  <c r="BJ29" i="17"/>
  <c r="CF69" i="8"/>
  <c r="BJ68" i="17"/>
  <c r="BB51" i="17"/>
  <c r="BD62" i="17"/>
  <c r="AQ84" i="17"/>
  <c r="CF29" i="8"/>
  <c r="CJ37" i="8"/>
  <c r="AW76" i="17"/>
  <c r="AZ73" i="17"/>
  <c r="BI70" i="17"/>
  <c r="BG27" i="17"/>
  <c r="BE56" i="17"/>
  <c r="BY49" i="8"/>
  <c r="BK9" i="17"/>
  <c r="BK89" i="17" s="1"/>
  <c r="CM42" i="8"/>
  <c r="CH87" i="8"/>
  <c r="CA30" i="8"/>
  <c r="BK74" i="17"/>
  <c r="BH69" i="17"/>
  <c r="BB75" i="17"/>
  <c r="AQ54" i="17"/>
  <c r="BB62" i="17"/>
  <c r="CM85" i="8"/>
  <c r="BX59" i="8"/>
  <c r="BF45" i="17"/>
  <c r="BH26" i="17"/>
  <c r="AS9" i="17"/>
  <c r="AS89" i="17" s="1"/>
  <c r="BD79" i="17"/>
  <c r="AV87" i="17"/>
  <c r="BU42" i="8"/>
  <c r="AU87" i="17"/>
  <c r="AY72" i="17"/>
  <c r="C49" i="22"/>
  <c r="C49" i="13"/>
  <c r="C49" i="20"/>
  <c r="F37" i="22"/>
  <c r="F37" i="20"/>
  <c r="F37" i="13"/>
  <c r="F41" i="13"/>
  <c r="F42" i="20"/>
  <c r="F42" i="22"/>
  <c r="C46" i="20"/>
  <c r="C46" i="22"/>
  <c r="C46" i="13"/>
  <c r="F36" i="22"/>
  <c r="F36" i="20"/>
  <c r="F36" i="13"/>
  <c r="F46" i="22"/>
  <c r="F46" i="20"/>
  <c r="F45" i="13"/>
  <c r="F50" i="20"/>
  <c r="F50" i="22"/>
  <c r="F49" i="13"/>
  <c r="Y85" i="8"/>
  <c r="AE61" i="8"/>
  <c r="AJ55" i="8"/>
  <c r="AC74" i="8"/>
  <c r="X85" i="8"/>
  <c r="U55" i="8"/>
  <c r="AD29" i="8"/>
  <c r="C59" i="22"/>
  <c r="C59" i="20"/>
  <c r="C48" i="13"/>
  <c r="C48" i="20"/>
  <c r="C48" i="22"/>
  <c r="C58" i="22"/>
  <c r="C58" i="20"/>
  <c r="BF84" i="17"/>
  <c r="AZ74" i="17"/>
  <c r="AR76" i="17"/>
  <c r="AU72" i="17"/>
  <c r="BC29" i="17"/>
  <c r="BG16" i="17"/>
  <c r="BA52" i="17"/>
  <c r="BI17" i="17"/>
  <c r="AX75" i="17"/>
  <c r="C45" i="22"/>
  <c r="C45" i="13"/>
  <c r="C45" i="20"/>
  <c r="AA80" i="17"/>
  <c r="AB38" i="17"/>
  <c r="AB79" i="17"/>
  <c r="AB43" i="17"/>
  <c r="AA41" i="17"/>
  <c r="AJ61" i="17"/>
  <c r="V29" i="17"/>
  <c r="AB41" i="17"/>
  <c r="AB80" i="17"/>
  <c r="AB42" i="17"/>
  <c r="AD31" i="17"/>
  <c r="AA42" i="17"/>
  <c r="Y53" i="8"/>
  <c r="AD56" i="8"/>
  <c r="AM39" i="8"/>
  <c r="AB60" i="8"/>
  <c r="AE51" i="8"/>
  <c r="Y61" i="8"/>
  <c r="AE67" i="8"/>
  <c r="X51" i="8"/>
  <c r="AE79" i="8"/>
  <c r="AC44" i="8"/>
  <c r="AN86" i="8"/>
  <c r="AJ85" i="8"/>
  <c r="W68" i="8"/>
  <c r="AL43" i="8"/>
  <c r="Y69" i="8"/>
  <c r="Y60" i="8"/>
  <c r="AJ66" i="8"/>
  <c r="AA71" i="8"/>
  <c r="AL69" i="8"/>
  <c r="AG56" i="8"/>
  <c r="AK79" i="8"/>
  <c r="AO58" i="8"/>
  <c r="AN73" i="8"/>
  <c r="AA87" i="8"/>
  <c r="AL29" i="8"/>
  <c r="AK55" i="8"/>
  <c r="AC54" i="8"/>
  <c r="U53" i="8"/>
  <c r="AK43" i="8"/>
  <c r="X86" i="8"/>
  <c r="U51" i="8"/>
  <c r="AL56" i="8"/>
  <c r="Y67" i="8"/>
  <c r="AA54" i="8"/>
  <c r="AO56" i="8"/>
  <c r="AJ73" i="8"/>
  <c r="AG54" i="8"/>
  <c r="AF56" i="8"/>
  <c r="Z67" i="8"/>
  <c r="AG78" i="8"/>
  <c r="AB87" i="8"/>
  <c r="AM38" i="8"/>
  <c r="V51" i="8"/>
  <c r="AF30" i="8"/>
  <c r="AD53" i="8"/>
  <c r="AG68" i="8"/>
  <c r="X35" i="8"/>
  <c r="AO76" i="8"/>
  <c r="AK38" i="8"/>
  <c r="AA30" i="8"/>
  <c r="AK30" i="8"/>
  <c r="AB43" i="8"/>
  <c r="AA73" i="8"/>
  <c r="AO75" i="8"/>
  <c r="AA59" i="8"/>
  <c r="AL72" i="8"/>
  <c r="AI61" i="8"/>
  <c r="W29" i="8"/>
  <c r="AA66" i="8"/>
  <c r="AJ60" i="8"/>
  <c r="AC29" i="8"/>
  <c r="AN37" i="8"/>
  <c r="AC60" i="8"/>
  <c r="AO43" i="8"/>
  <c r="AM51" i="8"/>
  <c r="AG86" i="8"/>
  <c r="V83" i="8"/>
  <c r="V35" i="8"/>
  <c r="U56" i="8"/>
  <c r="AI66" i="8"/>
  <c r="AJ42" i="8"/>
  <c r="AE38" i="8"/>
  <c r="AC51" i="8"/>
  <c r="AK56" i="8"/>
  <c r="X53" i="8"/>
  <c r="AK44" i="8"/>
  <c r="AD71" i="8"/>
  <c r="X36" i="8"/>
  <c r="AB53" i="8"/>
  <c r="Z61" i="8"/>
  <c r="X71" i="8"/>
  <c r="AE40" i="8"/>
  <c r="AK76" i="8"/>
  <c r="AC50" i="8"/>
  <c r="AL35" i="8"/>
  <c r="U58" i="8"/>
  <c r="AC66" i="8"/>
  <c r="AB39" i="8"/>
  <c r="AI60" i="8"/>
  <c r="AN59" i="8"/>
  <c r="AJ35" i="8"/>
  <c r="AN74" i="8"/>
  <c r="AC71" i="8"/>
  <c r="AK86" i="8"/>
  <c r="AA83" i="8"/>
  <c r="AM42" i="8"/>
  <c r="AA53" i="8"/>
  <c r="X69" i="8"/>
  <c r="W50" i="8"/>
  <c r="AG76" i="8"/>
  <c r="AL58" i="8"/>
  <c r="AH43" i="8"/>
  <c r="AM40" i="8"/>
  <c r="AJ40" i="8"/>
  <c r="AI36" i="8"/>
  <c r="AI58" i="8"/>
  <c r="AD78" i="8"/>
  <c r="AE66" i="8"/>
  <c r="U37" i="8"/>
  <c r="AI29" i="8"/>
  <c r="W59" i="8"/>
  <c r="Z72" i="8"/>
  <c r="U43" i="8"/>
  <c r="AC76" i="8"/>
  <c r="AM30" i="8"/>
  <c r="U38" i="8"/>
  <c r="AL45" i="8"/>
  <c r="V30" i="8"/>
  <c r="AE78" i="8"/>
  <c r="AO60" i="8"/>
  <c r="AB42" i="8"/>
  <c r="AH73" i="8"/>
  <c r="V55" i="8"/>
  <c r="U61" i="8"/>
  <c r="AG51" i="8"/>
  <c r="AI44" i="8"/>
  <c r="AF37" i="8"/>
  <c r="AJ83" i="8"/>
  <c r="AA69" i="8"/>
  <c r="AH42" i="8"/>
  <c r="AK71" i="8"/>
  <c r="AN45" i="8"/>
  <c r="U59" i="8"/>
  <c r="AA49" i="8"/>
  <c r="AC69" i="8"/>
  <c r="AL76" i="8"/>
  <c r="Y50" i="8"/>
  <c r="V60" i="8"/>
  <c r="Y66" i="8"/>
  <c r="AD67" i="8"/>
  <c r="AF50" i="8"/>
  <c r="AH69" i="8"/>
  <c r="AC43" i="8"/>
  <c r="Y71" i="8"/>
  <c r="AA50" i="8"/>
  <c r="W57" i="8"/>
  <c r="AL53" i="8"/>
  <c r="AO59" i="8"/>
  <c r="V41" i="8"/>
  <c r="X52" i="8"/>
  <c r="AH39" i="8"/>
  <c r="AN44" i="8"/>
  <c r="AK66" i="8"/>
  <c r="AD30" i="8"/>
  <c r="AD43" i="8"/>
  <c r="AB52" i="8"/>
  <c r="AJ49" i="8"/>
  <c r="AE39" i="8"/>
  <c r="AI56" i="8"/>
  <c r="AM31" i="8"/>
  <c r="AN42" i="8"/>
  <c r="AF60" i="8"/>
  <c r="Y72" i="8"/>
  <c r="AB37" i="8"/>
  <c r="AB78" i="8"/>
  <c r="AH84" i="8"/>
  <c r="AH87" i="8"/>
  <c r="AA29" i="8"/>
  <c r="AF41" i="8"/>
  <c r="AB59" i="8"/>
  <c r="U76" i="8"/>
  <c r="AI45" i="8"/>
  <c r="AK50" i="8"/>
  <c r="AO68" i="8"/>
  <c r="AM59" i="8"/>
  <c r="V49" i="8"/>
  <c r="AJ41" i="8"/>
  <c r="V73" i="8"/>
  <c r="AK87" i="8"/>
  <c r="AB61" i="8"/>
  <c r="AG37" i="8"/>
  <c r="AM75" i="8"/>
  <c r="AA84" i="8"/>
  <c r="AK60" i="8"/>
  <c r="AA43" i="8"/>
  <c r="AH61" i="8"/>
  <c r="AK42" i="8"/>
  <c r="AL41" i="8"/>
  <c r="W53" i="8"/>
  <c r="U54" i="8"/>
  <c r="AI35" i="8"/>
  <c r="AD75" i="8"/>
  <c r="AJ38" i="8"/>
  <c r="AG72" i="8"/>
  <c r="AJ39" i="8"/>
  <c r="AJ52" i="8"/>
  <c r="AL39" i="8"/>
  <c r="AK84" i="8"/>
  <c r="AN60" i="8"/>
  <c r="AH58" i="8"/>
  <c r="AN51" i="8"/>
  <c r="AL57" i="8"/>
  <c r="AK58" i="8"/>
  <c r="AN40" i="8"/>
  <c r="V72" i="8"/>
  <c r="AE73" i="8"/>
  <c r="Y49" i="8"/>
  <c r="AN43" i="8"/>
  <c r="AA74" i="8"/>
  <c r="AD72" i="8"/>
  <c r="AN30" i="8"/>
  <c r="AM49" i="8"/>
  <c r="AC68" i="8"/>
  <c r="AC36" i="8"/>
  <c r="AJ78" i="8"/>
  <c r="AK67" i="8"/>
  <c r="AN72" i="8"/>
  <c r="X55" i="8"/>
  <c r="AC49" i="8"/>
  <c r="AH52" i="8"/>
  <c r="AE35" i="8"/>
  <c r="W76" i="8"/>
  <c r="AB45" i="8"/>
  <c r="AH57" i="8"/>
  <c r="AD83" i="8"/>
  <c r="AK78" i="8"/>
  <c r="Z66" i="8"/>
  <c r="AD35" i="8"/>
  <c r="AG85" i="8"/>
  <c r="AD74" i="8"/>
  <c r="AH37" i="8"/>
  <c r="AF43" i="8"/>
  <c r="Z52" i="8"/>
  <c r="AB29" i="8"/>
  <c r="AB75" i="8"/>
  <c r="AD52" i="8"/>
  <c r="AF38" i="8"/>
  <c r="V40" i="8"/>
  <c r="AG75" i="8"/>
  <c r="AO39" i="8"/>
  <c r="AO36" i="8"/>
  <c r="AE37" i="8"/>
  <c r="AK54" i="8"/>
  <c r="Z31" i="8"/>
  <c r="AD84" i="8"/>
  <c r="U50" i="8"/>
  <c r="AC41" i="8"/>
  <c r="Z36" i="8"/>
  <c r="X37" i="8"/>
  <c r="Z49" i="8"/>
  <c r="AB51" i="8"/>
  <c r="AJ29" i="8"/>
  <c r="X68" i="8"/>
  <c r="AO30" i="8"/>
  <c r="AK68" i="8"/>
  <c r="AL31" i="8"/>
  <c r="AC42" i="8"/>
  <c r="AD86" i="8"/>
  <c r="AM45" i="8"/>
  <c r="Y31" i="8"/>
  <c r="AN83" i="8"/>
  <c r="AK51" i="8"/>
  <c r="AK59" i="8"/>
  <c r="AE87" i="8"/>
  <c r="X30" i="8"/>
  <c r="AI73" i="8"/>
  <c r="AM37" i="8"/>
  <c r="AG38" i="8"/>
  <c r="AE50" i="8"/>
  <c r="Z68" i="8"/>
  <c r="AO51" i="8"/>
  <c r="AL67" i="8"/>
  <c r="U84" i="8"/>
  <c r="AK37" i="8"/>
  <c r="X40" i="8"/>
  <c r="AI38" i="8"/>
  <c r="AG83" i="8"/>
  <c r="W45" i="8"/>
  <c r="AD31" i="8"/>
  <c r="Y30" i="8"/>
  <c r="U57" i="8"/>
  <c r="X78" i="8"/>
  <c r="AB31" i="8"/>
  <c r="AC52" i="8"/>
  <c r="AI59" i="8"/>
  <c r="AA75" i="8"/>
  <c r="Y55" i="8"/>
  <c r="AK69" i="8"/>
  <c r="AD44" i="8"/>
  <c r="AL74" i="8"/>
  <c r="AC55" i="8"/>
  <c r="AC79" i="8"/>
  <c r="U74" i="8"/>
  <c r="AL40" i="8"/>
  <c r="Y87" i="8"/>
  <c r="AD61" i="8"/>
  <c r="AA40" i="8"/>
  <c r="AH54" i="8"/>
  <c r="W61" i="8"/>
  <c r="AC40" i="8"/>
  <c r="AF53" i="8"/>
  <c r="V66" i="8"/>
  <c r="X44" i="8"/>
  <c r="X42" i="8"/>
  <c r="AG69" i="8"/>
  <c r="AD45" i="8"/>
  <c r="AA51" i="8"/>
  <c r="AF54" i="8"/>
  <c r="AM68" i="8"/>
  <c r="AA56" i="8"/>
  <c r="AG43" i="8"/>
  <c r="AF74" i="8"/>
  <c r="AE49" i="8"/>
  <c r="AL52" i="8"/>
  <c r="W38" i="8"/>
  <c r="AH71" i="8"/>
  <c r="AH44" i="8"/>
  <c r="Z75" i="8"/>
  <c r="AI30" i="8"/>
  <c r="AH83" i="8"/>
  <c r="AA58" i="8"/>
  <c r="AB41" i="8"/>
  <c r="AC67" i="8"/>
  <c r="W37" i="8"/>
  <c r="W31" i="8"/>
  <c r="AI67" i="8"/>
  <c r="X31" i="8"/>
  <c r="Y75" i="8"/>
  <c r="W35" i="8"/>
  <c r="AM69" i="8"/>
  <c r="V53" i="8"/>
  <c r="AG41" i="8"/>
  <c r="AH86" i="8"/>
  <c r="AJ79" i="8"/>
  <c r="AN76" i="8"/>
  <c r="U30" i="8"/>
  <c r="V67" i="8"/>
  <c r="AO54" i="8"/>
  <c r="AG50" i="8"/>
  <c r="AE45" i="8"/>
  <c r="V36" i="8"/>
  <c r="AH40" i="8"/>
  <c r="AI51" i="8"/>
  <c r="AI39" i="8"/>
  <c r="AG53" i="8"/>
  <c r="AH74" i="8"/>
  <c r="V31" i="8"/>
  <c r="AK72" i="8"/>
  <c r="W43" i="8"/>
  <c r="AJ74" i="8"/>
  <c r="U68" i="8"/>
  <c r="U85" i="8"/>
  <c r="AH72" i="8"/>
  <c r="X38" i="8"/>
  <c r="W55" i="8"/>
  <c r="AF51" i="8"/>
  <c r="X67" i="8"/>
  <c r="AD50" i="8"/>
  <c r="AC30" i="8"/>
  <c r="V44" i="8"/>
  <c r="AA60" i="8"/>
  <c r="AF68" i="8"/>
  <c r="AC35" i="8"/>
  <c r="AK53" i="8"/>
  <c r="V42" i="8"/>
  <c r="Z44" i="8"/>
  <c r="W58" i="8"/>
  <c r="AD79" i="8"/>
  <c r="AI49" i="8"/>
  <c r="AF44" i="8"/>
  <c r="AF72" i="8"/>
  <c r="W74" i="8"/>
  <c r="AN66" i="8"/>
  <c r="AE56" i="8"/>
  <c r="AE44" i="8"/>
  <c r="AI54" i="8"/>
  <c r="V84" i="8"/>
  <c r="AE29" i="8"/>
  <c r="AK57" i="8"/>
  <c r="Z71" i="8"/>
  <c r="AN79" i="8"/>
  <c r="AL54" i="8"/>
  <c r="AG36" i="8"/>
  <c r="AA76" i="8"/>
  <c r="AO79" i="8"/>
  <c r="AO71" i="8"/>
  <c r="AE76" i="8"/>
  <c r="AM87" i="8"/>
  <c r="Z50" i="8"/>
  <c r="AF76" i="8"/>
  <c r="AO29" i="8"/>
  <c r="AJ44" i="8"/>
  <c r="X72" i="8"/>
  <c r="Z53" i="8"/>
  <c r="AJ56" i="8"/>
  <c r="W52" i="8"/>
  <c r="U44" i="8"/>
  <c r="AE83" i="8"/>
  <c r="AE52" i="8"/>
  <c r="AF40" i="8"/>
  <c r="AG71" i="8"/>
  <c r="U52" i="8"/>
  <c r="AI52" i="8"/>
  <c r="X60" i="8"/>
  <c r="AJ59" i="8"/>
  <c r="AK73" i="8"/>
  <c r="AI78" i="8"/>
  <c r="AN87" i="8"/>
  <c r="AM56" i="8"/>
  <c r="V39" i="8"/>
  <c r="Y37" i="8"/>
  <c r="AG30" i="8"/>
  <c r="W49" i="8"/>
  <c r="AA86" i="8"/>
  <c r="AA57" i="8"/>
  <c r="AG58" i="8"/>
  <c r="AG79" i="8"/>
  <c r="W75" i="8"/>
  <c r="AL68" i="8"/>
  <c r="AA78" i="8"/>
  <c r="V75" i="8"/>
  <c r="AG49" i="8"/>
  <c r="V43" i="8"/>
  <c r="V59" i="8"/>
  <c r="AA55" i="8"/>
  <c r="AM44" i="8"/>
  <c r="AG74" i="8"/>
  <c r="AO67" i="8"/>
  <c r="AE68" i="8"/>
  <c r="Z58" i="8"/>
  <c r="AI74" i="8"/>
  <c r="X56" i="8"/>
  <c r="AH68" i="8"/>
  <c r="AK49" i="8"/>
  <c r="AN57" i="8"/>
  <c r="AF49" i="8"/>
  <c r="AH31" i="8"/>
  <c r="U36" i="8"/>
  <c r="AJ45" i="8"/>
  <c r="AE36" i="8"/>
  <c r="AL37" i="8"/>
  <c r="U39" i="8"/>
  <c r="AE55" i="8"/>
  <c r="AJ37" i="8"/>
  <c r="AG40" i="8"/>
  <c r="AJ51" i="8"/>
  <c r="AM60" i="8"/>
  <c r="U29" i="8"/>
  <c r="AG52" i="8"/>
  <c r="AD73" i="8"/>
  <c r="W60" i="8"/>
  <c r="AJ75" i="8"/>
  <c r="AH53" i="8"/>
  <c r="W72" i="8"/>
  <c r="W78" i="8"/>
  <c r="AL36" i="8"/>
  <c r="AN78" i="8"/>
  <c r="Z51" i="8"/>
  <c r="Y76" i="8"/>
  <c r="V86" i="8"/>
  <c r="AH51" i="8"/>
  <c r="AO38" i="8"/>
  <c r="AG84" i="8"/>
  <c r="X66" i="8"/>
  <c r="AM61" i="8"/>
  <c r="AK35" i="8"/>
  <c r="AE43" i="8"/>
  <c r="W71" i="8"/>
  <c r="W41" i="8"/>
  <c r="AN55" i="8"/>
  <c r="AL79" i="8"/>
  <c r="AH78" i="8"/>
  <c r="AG57" i="8"/>
  <c r="W30" i="8"/>
  <c r="AG66" i="8"/>
  <c r="AF73" i="8"/>
  <c r="AD68" i="8"/>
  <c r="AB50" i="8"/>
  <c r="AA72" i="8"/>
  <c r="AD85" i="8"/>
  <c r="AD55" i="8"/>
  <c r="AJ87" i="8"/>
  <c r="AL42" i="8"/>
  <c r="AG35" i="8"/>
  <c r="AB74" i="8"/>
  <c r="AC59" i="8"/>
  <c r="U87" i="8"/>
  <c r="AA79" i="8"/>
  <c r="AO35" i="8"/>
  <c r="W51" i="8"/>
  <c r="AC53" i="8"/>
  <c r="AD38" i="8"/>
  <c r="AK39" i="8"/>
  <c r="AF52" i="8"/>
  <c r="AI42" i="8"/>
  <c r="X87" i="8"/>
  <c r="AE85" i="8"/>
  <c r="Y52" i="8"/>
  <c r="AM74" i="8"/>
  <c r="AB56" i="8"/>
  <c r="AD51" i="8"/>
  <c r="AC45" i="8"/>
  <c r="AF29" i="8"/>
  <c r="AL51" i="8"/>
  <c r="X79" i="8"/>
  <c r="AD58" i="8"/>
  <c r="Z59" i="8"/>
  <c r="AD66" i="8"/>
  <c r="AN61" i="8"/>
  <c r="Y73" i="8"/>
  <c r="AN67" i="8"/>
  <c r="Y44" i="8"/>
  <c r="AA67" i="8"/>
  <c r="AE41" i="8"/>
  <c r="AM43" i="8"/>
  <c r="AA37" i="8"/>
  <c r="AO74" i="8"/>
  <c r="AL75" i="8"/>
  <c r="AI40" i="8"/>
  <c r="AG59" i="8"/>
  <c r="AB44" i="8"/>
  <c r="AJ30" i="8"/>
  <c r="U41" i="8"/>
  <c r="AJ86" i="8"/>
  <c r="AC58" i="8"/>
  <c r="AM35" i="8"/>
  <c r="AF36" i="8"/>
  <c r="AA85" i="8"/>
  <c r="V68" i="8"/>
  <c r="AB58" i="8"/>
  <c r="Y59" i="8"/>
  <c r="U66" i="8"/>
  <c r="AE54" i="8"/>
  <c r="AJ61" i="8"/>
  <c r="AA52" i="8"/>
  <c r="AB57" i="8"/>
  <c r="AJ58" i="8"/>
  <c r="U79" i="8"/>
  <c r="AO57" i="8"/>
  <c r="AG45" i="8"/>
  <c r="W54" i="8"/>
  <c r="AC75" i="8"/>
  <c r="AC72" i="8"/>
  <c r="X84" i="8"/>
  <c r="AM50" i="8"/>
  <c r="AN29" i="8"/>
  <c r="AJ53" i="8"/>
  <c r="Y42" i="8"/>
  <c r="AF57" i="8"/>
  <c r="V78" i="8"/>
  <c r="X54" i="8"/>
  <c r="AM86" i="8"/>
  <c r="AC78" i="8"/>
  <c r="Z78" i="8"/>
  <c r="X73" i="8"/>
  <c r="AF71" i="8"/>
  <c r="AL61" i="8"/>
  <c r="AJ57" i="8"/>
  <c r="AC61" i="8"/>
  <c r="AA36" i="8"/>
  <c r="U78" i="8"/>
  <c r="AE72" i="8"/>
  <c r="AF61" i="8"/>
  <c r="AO42" i="8"/>
  <c r="AN85" i="8"/>
  <c r="Z55" i="8"/>
  <c r="AI53" i="8"/>
  <c r="AB73" i="8"/>
  <c r="X49" i="8"/>
  <c r="AI69" i="8"/>
  <c r="AK52" i="8"/>
  <c r="V76" i="8"/>
  <c r="AO78" i="8"/>
  <c r="AJ36" i="8"/>
  <c r="V37" i="8"/>
  <c r="AH49" i="8"/>
  <c r="AB67" i="8"/>
  <c r="V69" i="8"/>
  <c r="Z57" i="8"/>
  <c r="Y56" i="8"/>
  <c r="Y51" i="8"/>
  <c r="AM58" i="8"/>
  <c r="Z56" i="8"/>
  <c r="X59" i="8"/>
  <c r="AF59" i="8"/>
  <c r="AO53" i="8"/>
  <c r="AK31" i="8"/>
  <c r="AI79" i="8"/>
  <c r="AA45" i="8"/>
  <c r="U49" i="8"/>
  <c r="Y43" i="8"/>
  <c r="U71" i="8"/>
  <c r="AJ50" i="8"/>
  <c r="AK40" i="8"/>
  <c r="Z29" i="8"/>
  <c r="AE59" i="8"/>
  <c r="U86" i="8"/>
  <c r="AM36" i="8"/>
  <c r="AF45" i="8"/>
  <c r="AD59" i="8"/>
  <c r="AD39" i="8"/>
  <c r="AA44" i="8"/>
  <c r="AF35" i="8"/>
  <c r="AF31" i="8"/>
  <c r="Y57" i="8"/>
  <c r="AL44" i="8"/>
  <c r="AO44" i="8"/>
  <c r="AJ43" i="8"/>
  <c r="AA41" i="8"/>
  <c r="AK41" i="8"/>
  <c r="AN50" i="8"/>
  <c r="Y86" i="8"/>
  <c r="W73" i="8"/>
  <c r="AE58" i="8"/>
  <c r="AF67" i="8"/>
  <c r="AC39" i="8"/>
  <c r="AN35" i="8"/>
  <c r="AB30" i="8"/>
  <c r="AF66" i="8"/>
  <c r="U60" i="8"/>
  <c r="AE86" i="8"/>
  <c r="AE31" i="8"/>
  <c r="AK36" i="8"/>
  <c r="X43" i="8"/>
  <c r="AH41" i="8"/>
  <c r="AL73" i="8"/>
  <c r="W69" i="8"/>
  <c r="X29" i="8"/>
  <c r="AE75" i="8"/>
  <c r="AH38" i="8"/>
  <c r="AM57" i="8"/>
  <c r="AH76" i="8"/>
  <c r="AG67" i="8"/>
  <c r="AB40" i="8"/>
  <c r="V38" i="8"/>
  <c r="AJ68" i="8"/>
  <c r="AB84" i="8"/>
  <c r="AI71" i="8"/>
  <c r="X45" i="8"/>
  <c r="AB36" i="8"/>
  <c r="AF42" i="8"/>
  <c r="AH79" i="8"/>
  <c r="AO55" i="8"/>
  <c r="AN31" i="8"/>
  <c r="AI57" i="8"/>
  <c r="AM85" i="8"/>
  <c r="V52" i="8"/>
  <c r="AN71" i="8"/>
  <c r="Z41" i="8"/>
  <c r="W44" i="8"/>
  <c r="AH67" i="8"/>
  <c r="AI37" i="8"/>
  <c r="AG29" i="8"/>
  <c r="Y35" i="8"/>
  <c r="Z54" i="8"/>
  <c r="Y68" i="8"/>
  <c r="V79" i="8"/>
  <c r="AA38" i="8"/>
  <c r="AH60" i="8"/>
  <c r="AE60" i="8"/>
  <c r="AM71" i="8"/>
  <c r="AD87" i="8"/>
  <c r="AG44" i="8"/>
  <c r="AG87" i="8"/>
  <c r="AG42" i="8"/>
  <c r="AC56" i="8"/>
  <c r="X50" i="8"/>
  <c r="AN56" i="8"/>
  <c r="Y74" i="8"/>
  <c r="U35" i="8"/>
  <c r="AD60" i="8"/>
  <c r="AL59" i="8"/>
  <c r="X76" i="8"/>
  <c r="AM73" i="8"/>
  <c r="V57" i="8"/>
  <c r="AI55" i="8"/>
  <c r="AO72" i="8"/>
  <c r="X74" i="8"/>
  <c r="Y58" i="8"/>
  <c r="U42" i="8"/>
  <c r="AJ69" i="8"/>
  <c r="AK29" i="8"/>
  <c r="AB54" i="8"/>
  <c r="V54" i="8"/>
  <c r="W56" i="8"/>
  <c r="U45" i="8"/>
  <c r="AN84" i="8"/>
  <c r="AO73" i="8"/>
  <c r="AH75" i="8"/>
  <c r="AL50" i="8"/>
  <c r="AE57" i="8"/>
  <c r="AM66" i="8"/>
  <c r="Z38" i="8"/>
  <c r="AM67" i="8"/>
  <c r="V56" i="8"/>
  <c r="Y29" i="8"/>
  <c r="AH56" i="8"/>
  <c r="V45" i="8"/>
  <c r="AJ71" i="8"/>
  <c r="AJ31" i="8"/>
  <c r="AB83" i="8"/>
  <c r="W42" i="8"/>
  <c r="AD69" i="8"/>
  <c r="Y54" i="8"/>
  <c r="U83" i="8"/>
  <c r="AF78" i="8"/>
  <c r="AN39" i="8"/>
  <c r="AB66" i="8"/>
  <c r="AO31" i="8"/>
  <c r="Y38" i="8"/>
  <c r="AC37" i="8"/>
  <c r="AN38" i="8"/>
  <c r="AK83" i="8"/>
  <c r="AM41" i="8"/>
  <c r="Y45" i="8"/>
  <c r="AL30" i="8"/>
  <c r="U40" i="8"/>
  <c r="U75" i="8"/>
  <c r="AC73" i="8"/>
  <c r="AM78" i="8"/>
  <c r="AF79" i="8"/>
  <c r="AA31" i="8"/>
  <c r="AO66" i="8"/>
  <c r="AA42" i="8"/>
  <c r="AO52" i="8"/>
  <c r="AJ54" i="8"/>
  <c r="AG60" i="8"/>
  <c r="AD57" i="8"/>
  <c r="U72" i="8"/>
  <c r="W66" i="8"/>
  <c r="AJ72" i="8"/>
  <c r="AM76" i="8"/>
  <c r="W36" i="8"/>
  <c r="AB76" i="8"/>
  <c r="Z30" i="8"/>
  <c r="AF55" i="8"/>
  <c r="AL38" i="8"/>
  <c r="Z40" i="8"/>
  <c r="X57" i="8"/>
  <c r="AE74" i="8"/>
  <c r="AM72" i="8"/>
  <c r="AH45" i="8"/>
  <c r="AL78" i="8"/>
  <c r="X41" i="8"/>
  <c r="AO40" i="8"/>
  <c r="AF39" i="8"/>
  <c r="Y36" i="8"/>
  <c r="AN68" i="8"/>
  <c r="Y84" i="8"/>
  <c r="AI31" i="8"/>
  <c r="AG73" i="8"/>
  <c r="X39" i="8"/>
  <c r="AL55" i="8"/>
  <c r="AE30" i="8"/>
  <c r="Z42" i="8"/>
  <c r="AF69" i="8"/>
  <c r="Z45" i="8"/>
  <c r="X61" i="8"/>
  <c r="AD54" i="8"/>
  <c r="AH30" i="8"/>
  <c r="AG39" i="8"/>
  <c r="AM29" i="8"/>
  <c r="AI41" i="8"/>
  <c r="AD37" i="8"/>
  <c r="AI68" i="8"/>
  <c r="Y41" i="8"/>
  <c r="U31" i="8"/>
  <c r="AK85" i="8"/>
  <c r="V61" i="8"/>
  <c r="AB35" i="8"/>
  <c r="W39" i="8"/>
  <c r="Z37" i="8"/>
  <c r="W40" i="8"/>
  <c r="AH50" i="8"/>
  <c r="X83" i="8"/>
  <c r="U69" i="8"/>
  <c r="Y40" i="8"/>
  <c r="AH66" i="8"/>
  <c r="AE71" i="8"/>
  <c r="AD36" i="8"/>
  <c r="AA35" i="8"/>
  <c r="Z69" i="8"/>
  <c r="AN52" i="8"/>
  <c r="AD42" i="8"/>
  <c r="Z79" i="8"/>
  <c r="Z76" i="8"/>
  <c r="AO61" i="8"/>
  <c r="AM54" i="8"/>
  <c r="AI72" i="8"/>
  <c r="AB71" i="8"/>
  <c r="Y83" i="8"/>
  <c r="AK61" i="8"/>
  <c r="AK45" i="8"/>
  <c r="Z35" i="8"/>
  <c r="AO37" i="8"/>
  <c r="V74" i="8"/>
  <c r="AO45" i="8"/>
  <c r="U73" i="8"/>
  <c r="AA39" i="8"/>
  <c r="AL49" i="8"/>
  <c r="AJ67" i="8"/>
  <c r="AB68" i="8"/>
  <c r="AC38" i="8"/>
  <c r="AB38" i="8"/>
  <c r="AF75" i="8"/>
  <c r="AN54" i="8"/>
  <c r="W67" i="8"/>
  <c r="AH35" i="8"/>
  <c r="X58" i="8"/>
  <c r="AM53" i="8"/>
  <c r="Y79" i="8"/>
  <c r="AI75" i="8"/>
  <c r="Z43" i="8"/>
  <c r="AN49" i="8"/>
  <c r="AG55" i="8"/>
  <c r="AB55" i="8"/>
  <c r="AN53" i="8"/>
  <c r="Z60" i="8"/>
  <c r="AN75" i="8"/>
  <c r="AI43" i="8"/>
  <c r="X75" i="8"/>
  <c r="AD76" i="8"/>
  <c r="AD49" i="8"/>
  <c r="U67" i="8"/>
  <c r="AL60" i="8"/>
  <c r="AO69" i="8"/>
  <c r="Z73" i="8"/>
  <c r="Z74" i="8"/>
  <c r="AH29" i="8"/>
  <c r="AD41" i="8"/>
  <c r="AB49" i="8"/>
  <c r="AB86" i="8"/>
  <c r="AE53" i="8"/>
  <c r="Z39" i="8"/>
  <c r="AB69" i="8"/>
  <c r="AE84" i="8"/>
  <c r="AB72" i="8"/>
  <c r="AO41" i="8"/>
  <c r="AN69" i="8"/>
  <c r="AO49" i="8"/>
  <c r="AM55" i="8"/>
  <c r="AB85" i="8"/>
  <c r="AC31" i="8"/>
  <c r="V85" i="8"/>
  <c r="V71" i="8"/>
  <c r="AN58" i="8"/>
  <c r="AA68" i="8"/>
  <c r="AH85" i="8"/>
  <c r="W79" i="8"/>
  <c r="AB79" i="8"/>
  <c r="V29" i="8"/>
  <c r="AL71" i="8"/>
  <c r="AH59" i="8"/>
  <c r="AN36" i="8"/>
  <c r="AM83" i="8"/>
  <c r="AJ84" i="8"/>
  <c r="AI50" i="8"/>
  <c r="AH55" i="8"/>
  <c r="AL66" i="8"/>
  <c r="AD40" i="8"/>
  <c r="AE42" i="8"/>
  <c r="V58" i="8"/>
  <c r="AI76" i="8"/>
  <c r="V50" i="8"/>
  <c r="V87" i="8"/>
  <c r="AF58" i="8"/>
  <c r="AN41" i="8"/>
  <c r="AM84" i="8"/>
  <c r="AM79" i="8"/>
  <c r="AG31" i="8"/>
  <c r="AA61" i="8"/>
  <c r="AE69" i="8"/>
  <c r="AG61" i="8"/>
  <c r="AK74" i="8"/>
  <c r="AC57" i="8"/>
  <c r="AO50" i="8"/>
  <c r="AK75" i="8"/>
  <c r="Y39" i="8"/>
  <c r="AJ76" i="8"/>
  <c r="Y78" i="8"/>
  <c r="AM52" i="8"/>
  <c r="AH36" i="8"/>
  <c r="F38" i="13"/>
  <c r="F38" i="20"/>
  <c r="F38" i="22"/>
  <c r="AF47" i="17"/>
  <c r="AA73" i="17"/>
  <c r="V41" i="17"/>
  <c r="BN85" i="8"/>
  <c r="Z70" i="17"/>
  <c r="BH71" i="8"/>
  <c r="Y73" i="17"/>
  <c r="AI37" i="17"/>
  <c r="BI76" i="8"/>
  <c r="AC46" i="17"/>
  <c r="AG31" i="17"/>
  <c r="AL84" i="17"/>
  <c r="AK35" i="17"/>
  <c r="AJ47" i="17"/>
  <c r="BC52" i="8"/>
  <c r="AE69" i="17"/>
  <c r="W18" i="17"/>
  <c r="AF59" i="17"/>
  <c r="BC30" i="8"/>
  <c r="BG61" i="8"/>
  <c r="BI52" i="8"/>
  <c r="BG53" i="8"/>
  <c r="BK57" i="8"/>
  <c r="BF75" i="8"/>
  <c r="BS72" i="8"/>
  <c r="BS49" i="8"/>
  <c r="X11" i="17"/>
  <c r="BH30" i="8"/>
  <c r="AC26" i="17"/>
  <c r="AK38" i="17"/>
  <c r="BG66" i="8"/>
  <c r="U53" i="17"/>
  <c r="BC78" i="8"/>
  <c r="AF44" i="17"/>
  <c r="BL83" i="8"/>
  <c r="BF79" i="8"/>
  <c r="AA86" i="17"/>
  <c r="AK40" i="17"/>
  <c r="AD56" i="17"/>
  <c r="AJ58" i="17"/>
  <c r="AL77" i="17"/>
  <c r="U70" i="17"/>
  <c r="W47" i="17"/>
  <c r="BI74" i="8"/>
  <c r="Y16" i="17"/>
  <c r="AI29" i="17"/>
  <c r="BD76" i="8"/>
  <c r="AG30" i="17"/>
  <c r="BJ49" i="8"/>
  <c r="BG41" i="8"/>
  <c r="U10" i="17"/>
  <c r="X67" i="17"/>
  <c r="BD49" i="8"/>
  <c r="AD35" i="17"/>
  <c r="AK67" i="17"/>
  <c r="BB44" i="8"/>
  <c r="BM54" i="8"/>
  <c r="AH44" i="17"/>
  <c r="AG53" i="17"/>
  <c r="AL42" i="17"/>
  <c r="BQ51" i="8"/>
  <c r="AO53" i="17"/>
  <c r="BM68" i="8"/>
  <c r="AO20" i="17"/>
  <c r="BM66" i="8"/>
  <c r="BE68" i="8"/>
  <c r="BS68" i="8"/>
  <c r="AN19" i="17"/>
  <c r="AD9" i="17"/>
  <c r="AD89" i="17" s="1"/>
  <c r="BM61" i="8"/>
  <c r="AJ46" i="17"/>
  <c r="U47" i="17"/>
  <c r="BH40" i="8"/>
  <c r="AB72" i="17"/>
  <c r="AA67" i="17"/>
  <c r="BI58" i="8"/>
  <c r="AC88" i="17"/>
  <c r="BG55" i="8"/>
  <c r="AK16" i="17"/>
  <c r="AI40" i="17"/>
  <c r="AM26" i="17"/>
  <c r="AB55" i="17"/>
  <c r="BB86" i="8"/>
  <c r="BD74" i="8"/>
  <c r="Z69" i="17"/>
  <c r="BI73" i="8"/>
  <c r="AA30" i="17"/>
  <c r="AE11" i="17"/>
  <c r="AD52" i="17"/>
  <c r="Z77" i="17"/>
  <c r="Y53" i="17"/>
  <c r="AB37" i="17"/>
  <c r="BI68" i="8"/>
  <c r="BD75" i="8"/>
  <c r="AH68" i="17"/>
  <c r="BB66" i="8"/>
  <c r="AF88" i="17"/>
  <c r="BQ54" i="8"/>
  <c r="AB59" i="17"/>
  <c r="AA84" i="17"/>
  <c r="AM19" i="17"/>
  <c r="AM74" i="17"/>
  <c r="AE67" i="17"/>
  <c r="AO87" i="17"/>
  <c r="W60" i="17"/>
  <c r="AB10" i="17"/>
  <c r="AE85" i="17"/>
  <c r="AB27" i="17"/>
  <c r="BP69" i="8"/>
  <c r="AA69" i="17"/>
  <c r="BK37" i="8"/>
  <c r="AC41" i="17"/>
  <c r="AB47" i="17"/>
  <c r="BK45" i="8"/>
  <c r="BH56" i="8"/>
  <c r="AL20" i="17"/>
  <c r="BQ31" i="8"/>
  <c r="Z52" i="17"/>
  <c r="AA11" i="17"/>
  <c r="BJ29" i="8"/>
  <c r="AO26" i="17"/>
  <c r="BN66" i="8"/>
  <c r="AI11" i="17"/>
  <c r="AM60" i="17"/>
  <c r="BI57" i="8"/>
  <c r="AD80" i="17"/>
  <c r="AD74" i="17"/>
  <c r="AJ10" i="17"/>
  <c r="X18" i="17"/>
  <c r="AA31" i="17"/>
  <c r="AO9" i="17"/>
  <c r="BO85" i="8"/>
  <c r="AJ41" i="17"/>
  <c r="BB59" i="8"/>
  <c r="W45" i="17"/>
  <c r="X9" i="17"/>
  <c r="X89" i="17" s="1"/>
  <c r="BL37" i="8"/>
  <c r="BE59" i="8"/>
  <c r="Z37" i="17"/>
  <c r="Z10" i="17"/>
  <c r="W38" i="17"/>
  <c r="X86" i="17"/>
  <c r="BG74" i="8"/>
  <c r="AH43" i="17"/>
  <c r="AH54" i="17"/>
  <c r="Z76" i="17"/>
  <c r="AO54" i="17"/>
  <c r="AH42" i="17"/>
  <c r="W70" i="17"/>
  <c r="U40" i="17"/>
  <c r="BK49" i="8"/>
  <c r="AM54" i="17"/>
  <c r="BE30" i="8"/>
  <c r="V70" i="17"/>
  <c r="BJ76" i="8"/>
  <c r="BQ68" i="8"/>
  <c r="AL53" i="17"/>
  <c r="AK41" i="17"/>
  <c r="AN31" i="17"/>
  <c r="W39" i="17"/>
  <c r="BJ61" i="8"/>
  <c r="AA44" i="17"/>
  <c r="V51" i="17"/>
  <c r="BN74" i="8"/>
  <c r="AA29" i="17"/>
  <c r="V26" i="17"/>
  <c r="BH53" i="8"/>
  <c r="BQ72" i="8"/>
  <c r="BR36" i="8"/>
  <c r="BE41" i="8"/>
  <c r="AE76" i="17"/>
  <c r="AH88" i="17"/>
  <c r="AK88" i="17"/>
  <c r="AL17" i="17"/>
  <c r="AH77" i="17"/>
  <c r="BF36" i="8"/>
  <c r="BI38" i="8"/>
  <c r="AI70" i="17"/>
  <c r="BR40" i="8"/>
  <c r="AM41" i="17"/>
  <c r="BI36" i="8"/>
  <c r="AI17" i="17"/>
  <c r="AD43" i="17"/>
  <c r="AM76" i="17"/>
  <c r="BC72" i="8"/>
  <c r="AO60" i="17"/>
  <c r="AD88" i="17"/>
  <c r="X41" i="17"/>
  <c r="AN55" i="17"/>
  <c r="BJ52" i="8"/>
  <c r="BN72" i="8"/>
  <c r="AC45" i="17"/>
  <c r="BK55" i="8"/>
  <c r="BB79" i="8"/>
  <c r="BO58" i="8"/>
  <c r="AL10" i="17"/>
  <c r="BQ29" i="8"/>
  <c r="BF87" i="8"/>
  <c r="BH36" i="8"/>
  <c r="BJ75" i="8"/>
  <c r="Z39" i="17"/>
  <c r="AD29" i="17"/>
  <c r="BI83" i="8"/>
  <c r="AD59" i="17"/>
  <c r="AE58" i="17"/>
  <c r="W36" i="17"/>
  <c r="AE26" i="17"/>
  <c r="U54" i="17"/>
  <c r="AK61" i="17"/>
  <c r="BN87" i="8"/>
  <c r="U60" i="17"/>
  <c r="AG54" i="17"/>
  <c r="BP79" i="8"/>
  <c r="BL67" i="8"/>
  <c r="BD61" i="8"/>
  <c r="BM30" i="8"/>
  <c r="AF69" i="17"/>
  <c r="BM59" i="8"/>
  <c r="BM36" i="8"/>
  <c r="AB28" i="17"/>
  <c r="BJ68" i="8"/>
  <c r="BO54" i="8"/>
  <c r="AJ20" i="17"/>
  <c r="AN84" i="17"/>
  <c r="BO67" i="8"/>
  <c r="AE35" i="17"/>
  <c r="AA72" i="17"/>
  <c r="BL36" i="8"/>
  <c r="AF21" i="17"/>
  <c r="BE79" i="8"/>
  <c r="AC47" i="17"/>
  <c r="AO42" i="17"/>
  <c r="AM62" i="17"/>
  <c r="W69" i="17"/>
  <c r="BC86" i="8"/>
  <c r="BD39" i="8"/>
  <c r="BO76" i="8"/>
  <c r="AG40" i="17"/>
  <c r="BF68" i="8"/>
  <c r="AF20" i="17"/>
  <c r="AC27" i="17"/>
  <c r="AE46" i="17"/>
  <c r="BB83" i="8"/>
  <c r="BD73" i="8"/>
  <c r="AN46" i="17"/>
  <c r="Y60" i="17"/>
  <c r="AO86" i="17"/>
  <c r="BR38" i="8"/>
  <c r="BL40" i="8"/>
  <c r="X16" i="17"/>
  <c r="AF11" i="17"/>
  <c r="W16" i="17"/>
  <c r="AA60" i="17"/>
  <c r="BP51" i="8"/>
  <c r="BP55" i="8"/>
  <c r="AA74" i="17"/>
  <c r="BP57" i="8"/>
  <c r="BP52" i="8"/>
  <c r="Z46" i="17"/>
  <c r="BI87" i="8"/>
  <c r="BL59" i="8"/>
  <c r="AO79" i="17"/>
  <c r="BQ84" i="8"/>
  <c r="AM29" i="17"/>
  <c r="AM39" i="17"/>
  <c r="AM51" i="17"/>
  <c r="BR68" i="8"/>
  <c r="BP37" i="8"/>
  <c r="AE28" i="17"/>
  <c r="BR52" i="8"/>
  <c r="BG43" i="8"/>
  <c r="AF35" i="17"/>
  <c r="AM85" i="17"/>
  <c r="AH41" i="17"/>
  <c r="BE31" i="8"/>
  <c r="AD26" i="17"/>
  <c r="AK79" i="17"/>
  <c r="AH85" i="17"/>
  <c r="AC9" i="17"/>
  <c r="AC89" i="17" s="1"/>
  <c r="BM50" i="8"/>
  <c r="AH26" i="17"/>
  <c r="Y85" i="17"/>
  <c r="W43" i="17"/>
  <c r="X62" i="17"/>
  <c r="AN21" i="17"/>
  <c r="AA59" i="17"/>
  <c r="BF86" i="8"/>
  <c r="AB19" i="17"/>
  <c r="AE37" i="17"/>
  <c r="BI53" i="8"/>
  <c r="AF19" i="17"/>
  <c r="AG19" i="17"/>
  <c r="AC76" i="17"/>
  <c r="BO75" i="8"/>
  <c r="BD57" i="8"/>
  <c r="BN30" i="8"/>
  <c r="AA62" i="17"/>
  <c r="BP61" i="8"/>
  <c r="AH46" i="17"/>
  <c r="BL54" i="8"/>
  <c r="AN60" i="17"/>
  <c r="AI69" i="17"/>
  <c r="AK60" i="17"/>
  <c r="BF78" i="8"/>
  <c r="BK75" i="8"/>
  <c r="AO80" i="17"/>
  <c r="AM57" i="17"/>
  <c r="AB74" i="17"/>
  <c r="BO61" i="8"/>
  <c r="AI19" i="17"/>
  <c r="BF76" i="8"/>
  <c r="Z30" i="17"/>
  <c r="BI30" i="8"/>
  <c r="AL46" i="17"/>
  <c r="Z56" i="17"/>
  <c r="AN56" i="17"/>
  <c r="BF61" i="8"/>
  <c r="BM29" i="8"/>
  <c r="U46" i="17"/>
  <c r="AG46" i="17"/>
  <c r="BS35" i="8"/>
  <c r="AE68" i="17"/>
  <c r="AB53" i="17"/>
  <c r="Z40" i="17"/>
  <c r="AJ31" i="17"/>
  <c r="AG80" i="17"/>
  <c r="X58" i="17"/>
  <c r="BR54" i="8"/>
  <c r="AN47" i="17"/>
  <c r="AD58" i="17"/>
  <c r="BR66" i="8"/>
  <c r="AO36" i="17"/>
  <c r="BI72" i="8"/>
  <c r="BR78" i="8"/>
  <c r="AJ18" i="17"/>
  <c r="BP43" i="8"/>
  <c r="BK35" i="8"/>
  <c r="AK19" i="17"/>
  <c r="AK37" i="17"/>
  <c r="AI58" i="17"/>
  <c r="AE38" i="17"/>
  <c r="AK72" i="17"/>
  <c r="X84" i="17"/>
  <c r="BR61" i="8"/>
  <c r="BQ41" i="8"/>
  <c r="BR76" i="8"/>
  <c r="AB39" i="17"/>
  <c r="AN74" i="17"/>
  <c r="BN35" i="8"/>
  <c r="AF45" i="17"/>
  <c r="AA46" i="17"/>
  <c r="BQ59" i="8"/>
  <c r="BB60" i="8"/>
  <c r="BM60" i="8"/>
  <c r="AH62" i="17"/>
  <c r="BH44" i="8"/>
  <c r="Y76" i="17"/>
  <c r="AG51" i="17"/>
  <c r="AG69" i="17"/>
  <c r="BC56" i="8"/>
  <c r="AL52" i="17"/>
  <c r="AN69" i="17"/>
  <c r="AL9" i="17"/>
  <c r="AL89" i="17" s="1"/>
  <c r="AF56" i="17"/>
  <c r="W76" i="17"/>
  <c r="BI40" i="8"/>
  <c r="W41" i="17"/>
  <c r="AO10" i="17"/>
  <c r="BE39" i="8"/>
  <c r="BO84" i="8"/>
  <c r="AE73" i="17"/>
  <c r="BJ38" i="8"/>
  <c r="BS37" i="8"/>
  <c r="BJ50" i="8"/>
  <c r="BI45" i="8"/>
  <c r="BP66" i="8"/>
  <c r="V40" i="17"/>
  <c r="AG47" i="17"/>
  <c r="AG38" i="17"/>
  <c r="U77" i="17"/>
  <c r="AM73" i="17"/>
  <c r="Z80" i="17"/>
  <c r="AN42" i="17"/>
  <c r="BO45" i="8"/>
  <c r="BO31" i="8"/>
  <c r="AK73" i="17"/>
  <c r="AM75" i="17"/>
  <c r="BH55" i="8"/>
  <c r="BJ40" i="8"/>
  <c r="Y67" i="17"/>
  <c r="BC36" i="8"/>
  <c r="BB85" i="8"/>
  <c r="BS50" i="8"/>
  <c r="BL31" i="8"/>
  <c r="W29" i="17"/>
  <c r="AD40" i="17"/>
  <c r="BS55" i="8"/>
  <c r="BD71" i="8"/>
  <c r="BE76" i="8"/>
  <c r="BQ60" i="8"/>
  <c r="W58" i="17"/>
  <c r="AG9" i="17"/>
  <c r="AG89" i="17" s="1"/>
  <c r="BN40" i="8"/>
  <c r="BQ53" i="8"/>
  <c r="W21" i="17"/>
  <c r="AB69" i="17"/>
  <c r="AC68" i="17"/>
  <c r="Z41" i="17"/>
  <c r="AA47" i="17"/>
  <c r="BK73" i="8"/>
  <c r="AD45" i="17"/>
  <c r="BM51" i="8"/>
  <c r="BN55" i="8"/>
  <c r="AD28" i="17"/>
  <c r="BC58" i="8"/>
  <c r="AC43" i="17"/>
  <c r="AH30" i="17"/>
  <c r="X42" i="17"/>
  <c r="BF31" i="8"/>
  <c r="BG78" i="8"/>
  <c r="AN35" i="17"/>
  <c r="BO69" i="8"/>
  <c r="AH29" i="17"/>
  <c r="BS38" i="8"/>
  <c r="AK84" i="17"/>
  <c r="BL53" i="8"/>
  <c r="BK84" i="8"/>
  <c r="V52" i="17"/>
  <c r="AO46" i="17"/>
  <c r="BK42" i="8"/>
  <c r="BP56" i="8"/>
  <c r="BQ83" i="8"/>
  <c r="AH40" i="17"/>
  <c r="W79" i="17"/>
  <c r="AE39" i="17"/>
  <c r="AB18" i="17"/>
  <c r="AK30" i="17"/>
  <c r="AJ19" i="17"/>
  <c r="U26" i="17"/>
  <c r="Z58" i="17"/>
  <c r="AO47" i="17"/>
  <c r="BN68" i="8"/>
  <c r="BL87" i="8"/>
  <c r="BN29" i="8"/>
  <c r="X70" i="17"/>
  <c r="BJ44" i="8"/>
  <c r="BM67" i="8"/>
  <c r="AC73" i="17"/>
  <c r="BF41" i="8"/>
  <c r="AM36" i="17"/>
  <c r="BR35" i="8"/>
  <c r="AD47" i="17"/>
  <c r="BP30" i="8"/>
  <c r="V10" i="17"/>
  <c r="Y54" i="17"/>
  <c r="BN52" i="8"/>
  <c r="AE88" i="17"/>
  <c r="BG45" i="8"/>
  <c r="BC44" i="8"/>
  <c r="BB49" i="8"/>
  <c r="AB67" i="17"/>
  <c r="BH73" i="8"/>
  <c r="BC29" i="8"/>
  <c r="BP38" i="8"/>
  <c r="BL55" i="8"/>
  <c r="BS45" i="8"/>
  <c r="AI46" i="17"/>
  <c r="X36" i="17"/>
  <c r="U76" i="17"/>
  <c r="BM45" i="8"/>
  <c r="V55" i="17"/>
  <c r="AG37" i="17"/>
  <c r="BG68" i="8"/>
  <c r="AN80" i="17"/>
  <c r="AN38" i="17"/>
  <c r="AC38" i="17"/>
  <c r="V58" i="17"/>
  <c r="AC11" i="17"/>
  <c r="AO41" i="17"/>
  <c r="AD76" i="17"/>
  <c r="BN54" i="8"/>
  <c r="BE29" i="8"/>
  <c r="BE58" i="8"/>
  <c r="W68" i="17"/>
  <c r="BM37" i="8"/>
  <c r="AJ35" i="17"/>
  <c r="BC59" i="8"/>
  <c r="AG35" i="17"/>
  <c r="BR84" i="8"/>
  <c r="AL39" i="17"/>
  <c r="BJ57" i="8"/>
  <c r="AK51" i="17"/>
  <c r="X21" i="17"/>
  <c r="BM49" i="8"/>
  <c r="Y36" i="17"/>
  <c r="BL51" i="8"/>
  <c r="AI30" i="17"/>
  <c r="BC60" i="8"/>
  <c r="BD67" i="8"/>
  <c r="AB70" i="17"/>
  <c r="Z62" i="17"/>
  <c r="BG67" i="8"/>
  <c r="AF37" i="17"/>
  <c r="BN86" i="8"/>
  <c r="AE84" i="17"/>
  <c r="AI39" i="17"/>
  <c r="AE31" i="17"/>
  <c r="AM69" i="17"/>
  <c r="BG40" i="8"/>
  <c r="BP60" i="8"/>
  <c r="AD68" i="17"/>
  <c r="BQ58" i="8"/>
  <c r="AE44" i="17"/>
  <c r="AL55" i="17"/>
  <c r="AM18" i="17"/>
  <c r="AE27" i="17"/>
  <c r="AA55" i="17"/>
  <c r="W42" i="17"/>
  <c r="W26" i="17"/>
  <c r="BH86" i="8"/>
  <c r="BG50" i="8"/>
  <c r="AJ38" i="17"/>
  <c r="AC28" i="17"/>
  <c r="BB71" i="8"/>
  <c r="AK54" i="17"/>
  <c r="X60" i="17"/>
  <c r="AC59" i="17"/>
  <c r="AE70" i="17"/>
  <c r="Z75" i="17"/>
  <c r="V54" i="17"/>
  <c r="BR44" i="8"/>
  <c r="AC37" i="17"/>
  <c r="BE86" i="8"/>
  <c r="AJ42" i="17"/>
  <c r="Y68" i="17"/>
  <c r="U39" i="17"/>
  <c r="AC87" i="17"/>
  <c r="AO75" i="17"/>
  <c r="BR74" i="8"/>
  <c r="AK75" i="17"/>
  <c r="AL61" i="17"/>
  <c r="U69" i="17"/>
  <c r="BB40" i="8"/>
  <c r="AM16" i="17"/>
  <c r="BP50" i="8"/>
  <c r="AJ43" i="17"/>
  <c r="AN79" i="17"/>
  <c r="AK31" i="17"/>
  <c r="AC21" i="17"/>
  <c r="AJ27" i="17"/>
  <c r="BN57" i="8"/>
  <c r="X40" i="17"/>
  <c r="Y56" i="17"/>
  <c r="BD35" i="8"/>
  <c r="BS42" i="8"/>
  <c r="BM76" i="8"/>
  <c r="W80" i="17"/>
  <c r="AH36" i="17"/>
  <c r="BQ67" i="8"/>
  <c r="V45" i="17"/>
  <c r="AL37" i="17"/>
  <c r="AJ26" i="17"/>
  <c r="AJ77" i="17"/>
  <c r="AC61" i="17"/>
  <c r="X87" i="17"/>
  <c r="Y38" i="17"/>
  <c r="W51" i="17"/>
  <c r="BF83" i="8"/>
  <c r="BL72" i="8"/>
  <c r="AF17" i="17"/>
  <c r="BS73" i="8"/>
  <c r="Z29" i="17"/>
  <c r="V74" i="17"/>
  <c r="AF46" i="17"/>
  <c r="AE21" i="17"/>
  <c r="BP76" i="8"/>
  <c r="BK54" i="8"/>
  <c r="AC84" i="17"/>
  <c r="AH45" i="17"/>
  <c r="AN45" i="17"/>
  <c r="AL56" i="17"/>
  <c r="AF58" i="17"/>
  <c r="AD87" i="17"/>
  <c r="BR39" i="8"/>
  <c r="BM56" i="8"/>
  <c r="AN88" i="17"/>
  <c r="BJ60" i="8"/>
  <c r="BE75" i="8"/>
  <c r="BJ71" i="8"/>
  <c r="V53" i="17"/>
  <c r="V46" i="17"/>
  <c r="BF56" i="8"/>
  <c r="AB45" i="17"/>
  <c r="BN79" i="8"/>
  <c r="BE57" i="8"/>
  <c r="AI36" i="17"/>
  <c r="BC67" i="8"/>
  <c r="AF75" i="17"/>
  <c r="BD54" i="8"/>
  <c r="BJ79" i="8"/>
  <c r="U36" i="17"/>
  <c r="AF31" i="17"/>
  <c r="V16" i="17"/>
  <c r="AC20" i="17"/>
  <c r="X51" i="17"/>
  <c r="AG88" i="17"/>
  <c r="BD56" i="8"/>
  <c r="AG21" i="17"/>
  <c r="BS41" i="8"/>
  <c r="BH69" i="8"/>
  <c r="AE77" i="17"/>
  <c r="X72" i="17"/>
  <c r="AM30" i="17"/>
  <c r="AG52" i="17"/>
  <c r="AG85" i="17"/>
  <c r="BB42" i="8"/>
  <c r="BO53" i="8"/>
  <c r="Z17" i="17"/>
  <c r="U57" i="17"/>
  <c r="BS40" i="8"/>
  <c r="BI42" i="8"/>
  <c r="AL51" i="17"/>
  <c r="AM59" i="17"/>
  <c r="AO29" i="17"/>
  <c r="BC31" i="8"/>
  <c r="BO59" i="8"/>
  <c r="Y35" i="17"/>
  <c r="V39" i="17"/>
  <c r="AA87" i="17"/>
  <c r="BK74" i="8"/>
  <c r="V68" i="17"/>
  <c r="AO35" i="17"/>
  <c r="BG44" i="8"/>
  <c r="AL44" i="17"/>
  <c r="AG62" i="17"/>
  <c r="AC56" i="17"/>
  <c r="BM41" i="8"/>
  <c r="BB84" i="8"/>
  <c r="BQ85" i="8"/>
  <c r="AF68" i="17"/>
  <c r="BB78" i="8"/>
  <c r="AF38" i="17"/>
  <c r="BQ37" i="8"/>
  <c r="BH38" i="8"/>
  <c r="AO18" i="17"/>
  <c r="V19" i="17"/>
  <c r="BO71" i="8"/>
  <c r="AI9" i="17"/>
  <c r="AI89" i="17" s="1"/>
  <c r="AD36" i="17"/>
  <c r="AE47" i="17"/>
  <c r="BK71" i="8"/>
  <c r="AL76" i="17"/>
  <c r="Y57" i="17"/>
  <c r="AJ84" i="17"/>
  <c r="W61" i="17"/>
  <c r="V42" i="17"/>
  <c r="BL49" i="8"/>
  <c r="BQ56" i="8"/>
  <c r="AF36" i="17"/>
  <c r="AI16" i="17"/>
  <c r="BL50" i="8"/>
  <c r="BI85" i="8"/>
  <c r="BF67" i="8"/>
  <c r="BB55" i="8"/>
  <c r="BI41" i="8"/>
  <c r="AF41" i="17"/>
  <c r="AB21" i="17"/>
  <c r="AG17" i="17"/>
  <c r="BF54" i="8"/>
  <c r="AH67" i="17"/>
  <c r="AM40" i="17"/>
  <c r="BL57" i="8"/>
  <c r="BG31" i="8"/>
  <c r="BP40" i="8"/>
  <c r="AK62" i="17"/>
  <c r="BR31" i="8"/>
  <c r="AF77" i="17"/>
  <c r="AK46" i="17"/>
  <c r="AF87" i="17"/>
  <c r="BR67" i="8"/>
  <c r="AF61" i="17"/>
  <c r="AN16" i="17"/>
  <c r="BR69" i="8"/>
  <c r="AK76" i="17"/>
  <c r="BB31" i="8"/>
  <c r="AK77" i="17"/>
  <c r="BJ67" i="8"/>
  <c r="W52" i="17"/>
  <c r="AD30" i="17"/>
  <c r="AM56" i="17"/>
  <c r="AK59" i="17"/>
  <c r="AB20" i="17"/>
  <c r="BD60" i="8"/>
  <c r="BN44" i="8"/>
  <c r="AJ62" i="17"/>
  <c r="BE83" i="8"/>
  <c r="BK36" i="8"/>
  <c r="AK45" i="17"/>
  <c r="BP72" i="8"/>
  <c r="BO72" i="8"/>
  <c r="BE69" i="8"/>
  <c r="Z47" i="17"/>
  <c r="BR58" i="8"/>
  <c r="BF45" i="8"/>
  <c r="BN73" i="8"/>
  <c r="BE37" i="8"/>
  <c r="AJ56" i="17"/>
  <c r="X20" i="17"/>
  <c r="V72" i="17"/>
  <c r="AH57" i="17"/>
  <c r="BG76" i="8"/>
  <c r="BE50" i="8"/>
  <c r="AG42" i="17"/>
  <c r="BF39" i="8"/>
  <c r="BE78" i="8"/>
  <c r="AA58" i="17"/>
  <c r="BJ66" i="8"/>
  <c r="AL31" i="17"/>
  <c r="BQ74" i="8"/>
  <c r="AI26" i="17"/>
  <c r="BK66" i="8"/>
  <c r="AD75" i="17"/>
  <c r="V56" i="17"/>
  <c r="AD11" i="17"/>
  <c r="AB17" i="17"/>
  <c r="X74" i="17"/>
  <c r="AG79" i="17"/>
  <c r="AD41" i="17"/>
  <c r="AI51" i="17"/>
  <c r="V17" i="17"/>
  <c r="W53" i="17"/>
  <c r="W87" i="17"/>
  <c r="AB73" i="17"/>
  <c r="BG57" i="8"/>
  <c r="BR42" i="8"/>
  <c r="BK60" i="8"/>
  <c r="BP31" i="8"/>
  <c r="BK53" i="8"/>
  <c r="BF42" i="8"/>
  <c r="W40" i="17"/>
  <c r="BQ42" i="8"/>
  <c r="AK70" i="17"/>
  <c r="AN30" i="17"/>
  <c r="AD60" i="17"/>
  <c r="BG35" i="8"/>
  <c r="BH50" i="8"/>
  <c r="BB57" i="8"/>
  <c r="BM43" i="8"/>
  <c r="BG42" i="8"/>
  <c r="U29" i="17"/>
  <c r="BB76" i="8"/>
  <c r="AG86" i="17"/>
  <c r="AL70" i="17"/>
  <c r="BL75" i="8"/>
  <c r="Z9" i="17"/>
  <c r="Z89" i="17" s="1"/>
  <c r="AA17" i="17"/>
  <c r="AJ88" i="17"/>
  <c r="Z73" i="17"/>
  <c r="AN67" i="17"/>
  <c r="BO57" i="8"/>
  <c r="Y62" i="17"/>
  <c r="AL47" i="17"/>
  <c r="AH38" i="17"/>
  <c r="AB30" i="17"/>
  <c r="AO39" i="17"/>
  <c r="AO40" i="17"/>
  <c r="AN77" i="17"/>
  <c r="AO85" i="17"/>
  <c r="AN27" i="17"/>
  <c r="AL26" i="17"/>
  <c r="BB29" i="8"/>
  <c r="X46" i="17"/>
  <c r="BR56" i="8"/>
  <c r="AJ28" i="17"/>
  <c r="AH11" i="17"/>
  <c r="AE56" i="17"/>
  <c r="AG76" i="17"/>
  <c r="AI47" i="17"/>
  <c r="AJ55" i="17"/>
  <c r="Y19" i="17"/>
  <c r="AI53" i="17"/>
  <c r="AE59" i="17"/>
  <c r="X10" i="17"/>
  <c r="Y18" i="17"/>
  <c r="AI87" i="17"/>
  <c r="V18" i="17"/>
  <c r="BN39" i="8"/>
  <c r="BQ87" i="8"/>
  <c r="Z84" i="17"/>
  <c r="BR79" i="8"/>
  <c r="BL38" i="8"/>
  <c r="BF72" i="8"/>
  <c r="BP75" i="8"/>
  <c r="BN43" i="8"/>
  <c r="AJ73" i="17"/>
  <c r="AO44" i="17"/>
  <c r="AC29" i="17"/>
  <c r="Z28" i="17"/>
  <c r="BO40" i="8"/>
  <c r="AI80" i="17"/>
  <c r="AG67" i="17"/>
  <c r="BL58" i="8"/>
  <c r="AF29" i="17"/>
  <c r="Y42" i="17"/>
  <c r="BE56" i="8"/>
  <c r="Z27" i="17"/>
  <c r="V36" i="17"/>
  <c r="AE36" i="17"/>
  <c r="BQ35" i="8"/>
  <c r="BP53" i="8"/>
  <c r="U61" i="17"/>
  <c r="BQ52" i="8"/>
  <c r="BI51" i="8"/>
  <c r="AO68" i="17"/>
  <c r="BH74" i="8"/>
  <c r="AA53" i="17"/>
  <c r="AL19" i="17"/>
  <c r="AA57" i="17"/>
  <c r="Y10" i="17"/>
  <c r="AO59" i="17"/>
  <c r="BJ37" i="8"/>
  <c r="BH57" i="8"/>
  <c r="AM42" i="17"/>
  <c r="AM46" i="17"/>
  <c r="BF69" i="8"/>
  <c r="BM44" i="8"/>
  <c r="BS67" i="8"/>
  <c r="Z44" i="17"/>
  <c r="BI59" i="8"/>
  <c r="AL80" i="17"/>
  <c r="AL18" i="17"/>
  <c r="Z36" i="17"/>
  <c r="BO38" i="8"/>
  <c r="AN43" i="17"/>
  <c r="BR43" i="8"/>
  <c r="BJ69" i="8"/>
  <c r="Y77" i="17"/>
  <c r="Y69" i="17"/>
  <c r="BI49" i="8"/>
  <c r="BS30" i="8"/>
  <c r="AA54" i="17"/>
  <c r="BK43" i="8"/>
  <c r="BI31" i="8"/>
  <c r="AI73" i="17"/>
  <c r="BL66" i="8"/>
  <c r="AC10" i="17"/>
  <c r="AE61" i="17"/>
  <c r="BJ45" i="8"/>
  <c r="AM31" i="17"/>
  <c r="X43" i="17"/>
  <c r="BO52" i="8"/>
  <c r="BB73" i="8"/>
  <c r="BL41" i="8"/>
  <c r="AJ72" i="17"/>
  <c r="Y37" i="17"/>
  <c r="BQ79" i="8"/>
  <c r="BK76" i="8"/>
  <c r="BM71" i="8"/>
  <c r="AD57" i="17"/>
  <c r="AM88" i="17"/>
  <c r="BF38" i="8"/>
  <c r="BJ35" i="8"/>
  <c r="BO42" i="8"/>
  <c r="BM39" i="8"/>
  <c r="BG38" i="8"/>
  <c r="BI84" i="8"/>
  <c r="BQ44" i="8"/>
  <c r="BL84" i="8"/>
  <c r="AD38" i="17"/>
  <c r="W85" i="17"/>
  <c r="BN61" i="8"/>
  <c r="AK21" i="17"/>
  <c r="Y11" i="17"/>
  <c r="AF40" i="17"/>
  <c r="AB75" i="17"/>
  <c r="AJ69" i="17"/>
  <c r="AC80" i="17"/>
  <c r="BK78" i="8"/>
  <c r="AL75" i="17"/>
  <c r="V31" i="17"/>
  <c r="AM80" i="17"/>
  <c r="AH10" i="17"/>
  <c r="AK28" i="17"/>
  <c r="AB36" i="17"/>
  <c r="BJ59" i="8"/>
  <c r="AC30" i="17"/>
  <c r="BH42" i="8"/>
  <c r="BC66" i="8"/>
  <c r="X28" i="17"/>
  <c r="AA18" i="17"/>
  <c r="X88" i="17"/>
  <c r="BS61" i="8"/>
  <c r="BN41" i="8"/>
  <c r="AF43" i="17"/>
  <c r="BB58" i="8"/>
  <c r="U72" i="17"/>
  <c r="AE79" i="17"/>
  <c r="AN17" i="17"/>
  <c r="Y9" i="17"/>
  <c r="Y89" i="17" s="1"/>
  <c r="AB84" i="17"/>
  <c r="BQ45" i="8"/>
  <c r="AI21" i="17"/>
  <c r="BM72" i="8"/>
  <c r="BB56" i="8"/>
  <c r="BS66" i="8"/>
  <c r="BJ74" i="8"/>
  <c r="U88" i="17"/>
  <c r="BF50" i="8"/>
  <c r="BC55" i="8"/>
  <c r="AD86" i="17"/>
  <c r="AG16" i="17"/>
  <c r="AC55" i="17"/>
  <c r="AB86" i="17"/>
  <c r="AJ80" i="17"/>
  <c r="BQ66" i="8"/>
  <c r="AJ67" i="17"/>
  <c r="AN36" i="17"/>
  <c r="AI38" i="17"/>
  <c r="X79" i="17"/>
  <c r="BI79" i="8"/>
  <c r="AO57" i="17"/>
  <c r="BO60" i="8"/>
  <c r="BD79" i="8"/>
  <c r="BQ78" i="8"/>
  <c r="BQ57" i="8"/>
  <c r="AH84" i="17"/>
  <c r="AA68" i="17"/>
  <c r="BE35" i="8"/>
  <c r="BQ73" i="8"/>
  <c r="AM86" i="17"/>
  <c r="Y30" i="17"/>
  <c r="BD29" i="8"/>
  <c r="AC75" i="17"/>
  <c r="BS75" i="8"/>
  <c r="X39" i="17"/>
  <c r="AA52" i="17"/>
  <c r="V85" i="17"/>
  <c r="AJ59" i="17"/>
  <c r="BG73" i="8"/>
  <c r="BC71" i="8"/>
  <c r="Z45" i="17"/>
  <c r="X73" i="17"/>
  <c r="X85" i="17"/>
  <c r="AN52" i="17"/>
  <c r="AO76" i="17"/>
  <c r="BB75" i="8"/>
  <c r="AG39" i="17"/>
  <c r="BJ56" i="8"/>
  <c r="AO88" i="17"/>
  <c r="BN84" i="8"/>
  <c r="Y45" i="17"/>
  <c r="BL44" i="8"/>
  <c r="AL72" i="17"/>
  <c r="AD69" i="17"/>
  <c r="BL29" i="8"/>
  <c r="BG52" i="8"/>
  <c r="BP49" i="8"/>
  <c r="AK17" i="17"/>
  <c r="AF28" i="17"/>
  <c r="AF62" i="17"/>
  <c r="AJ30" i="17"/>
  <c r="AD55" i="17"/>
  <c r="BS31" i="8"/>
  <c r="AN29" i="17"/>
  <c r="X69" i="17"/>
  <c r="BF49" i="8"/>
  <c r="AM84" i="17"/>
  <c r="AL79" i="17"/>
  <c r="AH80" i="17"/>
  <c r="AB62" i="17"/>
  <c r="AD37" i="17"/>
  <c r="BM31" i="8"/>
  <c r="V79" i="17"/>
  <c r="AA75" i="17"/>
  <c r="AI68" i="17"/>
  <c r="AH53" i="17"/>
  <c r="BE54" i="8"/>
  <c r="BH79" i="8"/>
  <c r="AO56" i="17"/>
  <c r="BF59" i="8"/>
  <c r="AA56" i="17"/>
  <c r="Y74" i="17"/>
  <c r="W9" i="17"/>
  <c r="W89" i="17" s="1"/>
  <c r="AJ40" i="17"/>
  <c r="Z60" i="17"/>
  <c r="W86" i="17"/>
  <c r="BN50" i="8"/>
  <c r="X17" i="17"/>
  <c r="BB87" i="8"/>
  <c r="BD72" i="8"/>
  <c r="BR87" i="8"/>
  <c r="AD46" i="17"/>
  <c r="AG29" i="17"/>
  <c r="AO11" i="17"/>
  <c r="AI31" i="17"/>
  <c r="BB45" i="8"/>
  <c r="BB67" i="8"/>
  <c r="BD44" i="8"/>
  <c r="AE57" i="17"/>
  <c r="BF51" i="8"/>
  <c r="AI54" i="17"/>
  <c r="AI72" i="17"/>
  <c r="BO29" i="8"/>
  <c r="AM55" i="17"/>
  <c r="AO51" i="17"/>
  <c r="BS29" i="8"/>
  <c r="Y28" i="17"/>
  <c r="BK83" i="8"/>
  <c r="Z51" i="17"/>
  <c r="AG59" i="17"/>
  <c r="BD37" i="8"/>
  <c r="BC53" i="8"/>
  <c r="AH16" i="17"/>
  <c r="AO70" i="17"/>
  <c r="AB44" i="17"/>
  <c r="BN69" i="8"/>
  <c r="BD38" i="8"/>
  <c r="AJ68" i="17"/>
  <c r="AH39" i="17"/>
  <c r="AO28" i="17"/>
  <c r="AN28" i="17"/>
  <c r="AH75" i="17"/>
  <c r="BR30" i="8"/>
  <c r="BI60" i="8"/>
  <c r="BD52" i="8"/>
  <c r="BD69" i="8"/>
  <c r="AD21" i="17"/>
  <c r="BH31" i="8"/>
  <c r="Z42" i="17"/>
  <c r="AA26" i="17"/>
  <c r="AM37" i="17"/>
  <c r="Z86" i="17"/>
  <c r="AA39" i="17"/>
  <c r="AJ74" i="17"/>
  <c r="AN53" i="17"/>
  <c r="AL54" i="17"/>
  <c r="AO31" i="17"/>
  <c r="BJ30" i="8"/>
  <c r="AH61" i="17"/>
  <c r="BE44" i="8"/>
  <c r="BG29" i="8"/>
  <c r="BB35" i="8"/>
  <c r="AL35" i="17"/>
  <c r="BR73" i="8"/>
  <c r="BS43" i="8"/>
  <c r="AH28" i="17"/>
  <c r="BL73" i="8"/>
  <c r="BM79" i="8"/>
  <c r="AD27" i="17"/>
  <c r="U19" i="17"/>
  <c r="Z20" i="17"/>
  <c r="Y46" i="17"/>
  <c r="X54" i="17"/>
  <c r="BR51" i="8"/>
  <c r="AL57" i="17"/>
  <c r="AN87" i="17"/>
  <c r="BK40" i="8"/>
  <c r="BC74" i="8"/>
  <c r="AI67" i="17"/>
  <c r="AK47" i="17"/>
  <c r="BB53" i="8"/>
  <c r="U74" i="17"/>
  <c r="U58" i="17"/>
  <c r="AF16" i="17"/>
  <c r="AE74" i="17"/>
  <c r="AD17" i="17"/>
  <c r="AE55" i="17"/>
  <c r="BO51" i="8"/>
  <c r="BE42" i="8"/>
  <c r="AN11" i="17"/>
  <c r="AF70" i="17"/>
  <c r="BH60" i="8"/>
  <c r="BK39" i="8"/>
  <c r="BM52" i="8"/>
  <c r="AF27" i="17"/>
  <c r="X76" i="17"/>
  <c r="Y70" i="17"/>
  <c r="AJ9" i="17"/>
  <c r="AJ89" i="17" s="1"/>
  <c r="AC74" i="17"/>
  <c r="AH73" i="17"/>
  <c r="V73" i="17"/>
  <c r="AG10" i="17"/>
  <c r="BS71" i="8"/>
  <c r="W27" i="17"/>
  <c r="Y29" i="17"/>
  <c r="BO41" i="8"/>
  <c r="AG68" i="17"/>
  <c r="BD68" i="8"/>
  <c r="BH58" i="8"/>
  <c r="BC45" i="8"/>
  <c r="AK87" i="17"/>
  <c r="AL43" i="17"/>
  <c r="U16" i="17"/>
  <c r="Z18" i="17"/>
  <c r="BD59" i="8"/>
  <c r="AO43" i="17"/>
  <c r="Y72" i="17"/>
  <c r="X27" i="17"/>
  <c r="BE45" i="8"/>
  <c r="AE9" i="17"/>
  <c r="AE89" i="17" s="1"/>
  <c r="U30" i="17"/>
  <c r="AI75" i="17"/>
  <c r="BN59" i="8"/>
  <c r="BH54" i="8"/>
  <c r="X68" i="17"/>
  <c r="BH49" i="8"/>
  <c r="BL61" i="8"/>
  <c r="AD51" i="17"/>
  <c r="BS76" i="8"/>
  <c r="AL68" i="17"/>
  <c r="BB50" i="8"/>
  <c r="AN86" i="17"/>
  <c r="V47" i="17"/>
  <c r="W31" i="17"/>
  <c r="Z68" i="17"/>
  <c r="W88" i="17"/>
  <c r="BE87" i="8"/>
  <c r="AC57" i="17"/>
  <c r="AI10" i="17"/>
  <c r="AF39" i="17"/>
  <c r="U31" i="17"/>
  <c r="BC35" i="8"/>
  <c r="BK56" i="8"/>
  <c r="AK56" i="17"/>
  <c r="BH72" i="8"/>
  <c r="AF79" i="17"/>
  <c r="BC68" i="8"/>
  <c r="AH31" i="17"/>
  <c r="AJ51" i="17"/>
  <c r="AC39" i="17"/>
  <c r="U86" i="17"/>
  <c r="BG54" i="8"/>
  <c r="BO35" i="8"/>
  <c r="Z26" i="17"/>
  <c r="BH43" i="8"/>
  <c r="W30" i="17"/>
  <c r="BK41" i="8"/>
  <c r="BM73" i="8"/>
  <c r="Z31" i="17"/>
  <c r="Z67" i="17"/>
  <c r="W46" i="17"/>
  <c r="Y39" i="17"/>
  <c r="AK55" i="17"/>
  <c r="AI20" i="17"/>
  <c r="AE87" i="17"/>
  <c r="BB43" i="8"/>
  <c r="AL38" i="17"/>
  <c r="AM27" i="17"/>
  <c r="BF53" i="8"/>
  <c r="AG11" i="17"/>
  <c r="BM78" i="8"/>
  <c r="BN76" i="8"/>
  <c r="U67" i="17"/>
  <c r="W20" i="17"/>
  <c r="BB36" i="8"/>
  <c r="W74" i="17"/>
  <c r="AA76" i="17"/>
  <c r="AG75" i="17"/>
  <c r="BG71" i="8"/>
  <c r="Z54" i="17"/>
  <c r="BD58" i="8"/>
  <c r="W57" i="17"/>
  <c r="AG27" i="17"/>
  <c r="AL74" i="17"/>
  <c r="AN26" i="17"/>
  <c r="Y41" i="17"/>
  <c r="AL59" i="17"/>
  <c r="AE62" i="17"/>
  <c r="AA20" i="17"/>
  <c r="BI78" i="8"/>
  <c r="AE75" i="17"/>
  <c r="AN68" i="17"/>
  <c r="BD40" i="8"/>
  <c r="AN39" i="17"/>
  <c r="AC70" i="17"/>
  <c r="AI57" i="17"/>
  <c r="BE61" i="8"/>
  <c r="AJ86" i="17"/>
  <c r="BO49" i="8"/>
  <c r="BC87" i="8"/>
  <c r="AL85" i="17"/>
  <c r="BO66" i="8"/>
  <c r="BL42" i="8"/>
  <c r="BL71" i="8"/>
  <c r="AI35" i="17"/>
  <c r="W55" i="17"/>
  <c r="AM11" i="17"/>
  <c r="AE72" i="17"/>
  <c r="BR50" i="8"/>
  <c r="AN40" i="17"/>
  <c r="AE41" i="17"/>
  <c r="AL27" i="17"/>
  <c r="AH21" i="17"/>
  <c r="U43" i="17"/>
  <c r="BI54" i="8"/>
  <c r="AC31" i="17"/>
  <c r="AE51" i="17"/>
  <c r="AG18" i="17"/>
  <c r="AF86" i="17"/>
  <c r="AB51" i="17"/>
  <c r="AN20" i="17"/>
  <c r="BH37" i="8"/>
  <c r="Z43" i="17"/>
  <c r="AA85" i="17"/>
  <c r="V80" i="17"/>
  <c r="BI69" i="8"/>
  <c r="AE60" i="17"/>
  <c r="V61" i="17"/>
  <c r="AD84" i="17"/>
  <c r="BP71" i="8"/>
  <c r="BO73" i="8"/>
  <c r="AK20" i="17"/>
  <c r="BQ75" i="8"/>
  <c r="AJ53" i="17"/>
  <c r="AJ52" i="17"/>
  <c r="AM21" i="17"/>
  <c r="AI86" i="17"/>
  <c r="X56" i="17"/>
  <c r="V44" i="17"/>
  <c r="AO77" i="17"/>
  <c r="AH17" i="17"/>
  <c r="BG30" i="8"/>
  <c r="AO84" i="17"/>
  <c r="BJ51" i="8"/>
  <c r="AJ54" i="17"/>
  <c r="BN71" i="8"/>
  <c r="AM45" i="17"/>
  <c r="BH59" i="8"/>
  <c r="BG60" i="8"/>
  <c r="BP42" i="8"/>
  <c r="AO38" i="17"/>
  <c r="AA40" i="17"/>
  <c r="U62" i="17"/>
  <c r="X75" i="17"/>
  <c r="BM57" i="8"/>
  <c r="BO44" i="8"/>
  <c r="AC17" i="17"/>
  <c r="AK9" i="17"/>
  <c r="AK89" i="17" s="1"/>
  <c r="BO68" i="8"/>
  <c r="BK58" i="8"/>
  <c r="AI77" i="17"/>
  <c r="BF40" i="8"/>
  <c r="AA35" i="17"/>
  <c r="AA38" i="17"/>
  <c r="AH76" i="17"/>
  <c r="AJ16" i="17"/>
  <c r="X45" i="17"/>
  <c r="BJ41" i="8"/>
  <c r="AH58" i="17"/>
  <c r="AI60" i="17"/>
  <c r="AH87" i="17"/>
  <c r="BP58" i="8"/>
  <c r="BC40" i="8"/>
  <c r="U87" i="17"/>
  <c r="X77" i="17"/>
  <c r="U27" i="17"/>
  <c r="AI59" i="17"/>
  <c r="BI35" i="8"/>
  <c r="BH75" i="8"/>
  <c r="AN58" i="17"/>
  <c r="AI44" i="17"/>
  <c r="V84" i="17"/>
  <c r="BD45" i="8"/>
  <c r="BF37" i="8"/>
  <c r="Z11" i="17"/>
  <c r="AA16" i="17"/>
  <c r="BN83" i="8"/>
  <c r="BR41" i="8"/>
  <c r="AD67" i="17"/>
  <c r="AA61" i="17"/>
  <c r="BK51" i="8"/>
  <c r="AN76" i="17"/>
  <c r="X37" i="17"/>
  <c r="AG61" i="17"/>
  <c r="BH52" i="8"/>
  <c r="AB88" i="17"/>
  <c r="AN75" i="17"/>
  <c r="AF26" i="17"/>
  <c r="BH78" i="8"/>
  <c r="BF58" i="8"/>
  <c r="BM58" i="8"/>
  <c r="BM74" i="8"/>
  <c r="AB52" i="17"/>
  <c r="BL74" i="8"/>
  <c r="V9" i="17"/>
  <c r="V89" i="17" s="1"/>
  <c r="BP68" i="8"/>
  <c r="BS69" i="8"/>
  <c r="BS39" i="8"/>
  <c r="Y75" i="17"/>
  <c r="V38" i="17"/>
  <c r="BP29" i="8"/>
  <c r="AC18" i="17"/>
  <c r="BH84" i="8"/>
  <c r="AM67" i="17"/>
  <c r="BP78" i="8"/>
  <c r="AD61" i="17"/>
  <c r="U11" i="17"/>
  <c r="W17" i="17"/>
  <c r="BH39" i="8"/>
  <c r="BJ39" i="8"/>
  <c r="BL43" i="8"/>
  <c r="AO67" i="17"/>
  <c r="AB11" i="17"/>
  <c r="AL86" i="17"/>
  <c r="BB41" i="8"/>
  <c r="AO72" i="17"/>
  <c r="BO56" i="8"/>
  <c r="AM61" i="17"/>
  <c r="AD73" i="17"/>
  <c r="U18" i="17"/>
  <c r="BH61" i="8"/>
  <c r="AB16" i="17"/>
  <c r="BN75" i="8"/>
  <c r="BK30" i="8"/>
  <c r="X26" i="17"/>
  <c r="BJ43" i="8"/>
  <c r="BK68" i="8"/>
  <c r="BH76" i="8"/>
  <c r="AE54" i="17"/>
  <c r="Z19" i="17"/>
  <c r="AB68" i="17"/>
  <c r="W72" i="17"/>
  <c r="AD62" i="17"/>
  <c r="AM68" i="17"/>
  <c r="V77" i="17"/>
  <c r="BP39" i="8"/>
  <c r="AK42" i="17"/>
  <c r="AJ76" i="17"/>
  <c r="BH29" i="8"/>
  <c r="AI55" i="17"/>
  <c r="AK57" i="17"/>
  <c r="BJ42" i="8"/>
  <c r="BK59" i="8"/>
  <c r="BP36" i="8"/>
  <c r="AI56" i="17"/>
  <c r="AM35" i="17"/>
  <c r="BL69" i="8"/>
  <c r="W54" i="17"/>
  <c r="U79" i="17"/>
  <c r="BL35" i="8"/>
  <c r="W28" i="17"/>
  <c r="AN62" i="17"/>
  <c r="AO17" i="17"/>
  <c r="BH83" i="8"/>
  <c r="BG37" i="8"/>
  <c r="AH20" i="17"/>
  <c r="U21" i="17"/>
  <c r="AA27" i="17"/>
  <c r="AC67" i="17"/>
  <c r="AJ39" i="17"/>
  <c r="AE29" i="17"/>
  <c r="Y84" i="17"/>
  <c r="BC84" i="8"/>
  <c r="Y40" i="17"/>
  <c r="BN78" i="8"/>
  <c r="BB54" i="8"/>
  <c r="AH52" i="17"/>
  <c r="BB30" i="8"/>
  <c r="BD30" i="8"/>
  <c r="BH66" i="8"/>
  <c r="BM38" i="8"/>
  <c r="AK44" i="17"/>
  <c r="U17" i="17"/>
  <c r="AO58" i="17"/>
  <c r="AN41" i="17"/>
  <c r="AA19" i="17"/>
  <c r="BD66" i="8"/>
  <c r="BP44" i="8"/>
  <c r="AJ11" i="17"/>
  <c r="BF71" i="8"/>
  <c r="BC73" i="8"/>
  <c r="AA10" i="17"/>
  <c r="AA37" i="17"/>
  <c r="AA51" i="17"/>
  <c r="AE16" i="17"/>
  <c r="AD85" i="17"/>
  <c r="AF80" i="17"/>
  <c r="V20" i="17"/>
  <c r="AD77" i="17"/>
  <c r="BJ73" i="8"/>
  <c r="BE55" i="8"/>
  <c r="AH60" i="17"/>
  <c r="BQ86" i="8"/>
  <c r="BC75" i="8"/>
  <c r="BI55" i="8"/>
  <c r="W35" i="17"/>
  <c r="BC57" i="8"/>
  <c r="BP35" i="8"/>
  <c r="BS51" i="8"/>
  <c r="BE73" i="8"/>
  <c r="V27" i="17"/>
  <c r="AI27" i="17"/>
  <c r="AG45" i="17"/>
  <c r="AN73" i="17"/>
  <c r="BN53" i="8"/>
  <c r="Y52" i="17"/>
  <c r="AL40" i="17"/>
  <c r="BC43" i="8"/>
  <c r="Z59" i="17"/>
  <c r="AL30" i="17"/>
  <c r="BO43" i="8"/>
  <c r="BM42" i="8"/>
  <c r="AB46" i="17"/>
  <c r="BB74" i="8"/>
  <c r="AJ37" i="17"/>
  <c r="Y43" i="17"/>
  <c r="BD50" i="8"/>
  <c r="AN10" i="17"/>
  <c r="BE66" i="8"/>
  <c r="X31" i="17"/>
  <c r="AO30" i="17"/>
  <c r="Y87" i="17"/>
  <c r="BD43" i="8"/>
  <c r="BP41" i="8"/>
  <c r="AM87" i="17"/>
  <c r="BQ38" i="8"/>
  <c r="BE84" i="8"/>
  <c r="BD55" i="8"/>
  <c r="BI67" i="8"/>
  <c r="AF74" i="17"/>
  <c r="BL60" i="8"/>
  <c r="BM40" i="8"/>
  <c r="AC72" i="17"/>
  <c r="AM44" i="17"/>
  <c r="BF29" i="8"/>
  <c r="BD36" i="8"/>
  <c r="AE40" i="17"/>
  <c r="AK43" i="17"/>
  <c r="V11" i="17"/>
  <c r="Z21" i="17"/>
  <c r="BS54" i="8"/>
  <c r="AC36" i="17"/>
  <c r="BD51" i="8"/>
  <c r="BC61" i="8"/>
  <c r="BF52" i="8"/>
  <c r="AK27" i="17"/>
  <c r="AH27" i="17"/>
  <c r="AB87" i="17"/>
  <c r="AF55" i="17"/>
  <c r="BB38" i="8"/>
  <c r="Z61" i="17"/>
  <c r="BE85" i="8"/>
  <c r="AN9" i="17"/>
  <c r="BR86" i="8"/>
  <c r="BH85" i="8"/>
  <c r="BC41" i="8"/>
  <c r="U59" i="17"/>
  <c r="BL52" i="8"/>
  <c r="AO21" i="17"/>
  <c r="BO87" i="8"/>
  <c r="U84" i="17"/>
  <c r="BL78" i="8"/>
  <c r="X38" i="17"/>
  <c r="BS60" i="8"/>
  <c r="AG72" i="17"/>
  <c r="BD41" i="8"/>
  <c r="BL39" i="8"/>
  <c r="AL45" i="17"/>
  <c r="BI43" i="8"/>
  <c r="BH68" i="8"/>
  <c r="AB85" i="17"/>
  <c r="BJ55" i="8"/>
  <c r="BR49" i="8"/>
  <c r="Y88" i="17"/>
  <c r="AA21" i="17"/>
  <c r="AF67" i="17"/>
  <c r="W11" i="17"/>
  <c r="U73" i="17"/>
  <c r="BN31" i="8"/>
  <c r="AN85" i="17"/>
  <c r="AJ17" i="17"/>
  <c r="AF85" i="17"/>
  <c r="AB61" i="17"/>
  <c r="AL21" i="17"/>
  <c r="BR53" i="8"/>
  <c r="BD31" i="8"/>
  <c r="BQ36" i="8"/>
  <c r="BQ71" i="8"/>
  <c r="BO78" i="8"/>
  <c r="BF84" i="8"/>
  <c r="BN42" i="8"/>
  <c r="AD54" i="17"/>
  <c r="Y61" i="17"/>
  <c r="X53" i="17"/>
  <c r="X55" i="17"/>
  <c r="AC52" i="17"/>
  <c r="BH51" i="8"/>
  <c r="U20" i="17"/>
  <c r="AM58" i="17"/>
  <c r="AI45" i="17"/>
  <c r="Y17" i="17"/>
  <c r="AO69" i="17"/>
  <c r="BE72" i="8"/>
  <c r="BL68" i="8"/>
  <c r="AB54" i="17"/>
  <c r="AL11" i="17"/>
  <c r="BC38" i="8"/>
  <c r="U44" i="17"/>
  <c r="AK36" i="17"/>
  <c r="BS44" i="8"/>
  <c r="U37" i="17"/>
  <c r="AJ57" i="17"/>
  <c r="AF84" i="17"/>
  <c r="AL73" i="17"/>
  <c r="X59" i="17"/>
  <c r="BN56" i="8"/>
  <c r="AK26" i="17"/>
  <c r="BR45" i="8"/>
  <c r="AF51" i="17"/>
  <c r="BE38" i="8"/>
  <c r="AO55" i="17"/>
  <c r="BI61" i="8"/>
  <c r="AO16" i="17"/>
  <c r="AB26" i="17"/>
  <c r="X44" i="17"/>
  <c r="V88" i="17"/>
  <c r="BG51" i="8"/>
  <c r="AD44" i="17"/>
  <c r="AN61" i="17"/>
  <c r="BB52" i="8"/>
  <c r="V75" i="17"/>
  <c r="U80" i="17"/>
  <c r="AG58" i="17"/>
  <c r="AI43" i="17"/>
  <c r="AJ60" i="17"/>
  <c r="AF76" i="17"/>
  <c r="AL58" i="17"/>
  <c r="X80" i="17"/>
  <c r="BK87" i="8"/>
  <c r="BI37" i="8"/>
  <c r="AL62" i="17"/>
  <c r="BO36" i="8"/>
  <c r="BB37" i="8"/>
  <c r="BN58" i="8"/>
  <c r="BS57" i="8"/>
  <c r="BJ36" i="8"/>
  <c r="AJ44" i="17"/>
  <c r="BR37" i="8"/>
  <c r="BP73" i="8"/>
  <c r="AM28" i="17"/>
  <c r="U56" i="17"/>
  <c r="AI41" i="17"/>
  <c r="BG56" i="8"/>
  <c r="BM69" i="8"/>
  <c r="AN59" i="17"/>
  <c r="BL86" i="8"/>
  <c r="AN37" i="17"/>
  <c r="AE10" i="17"/>
  <c r="AE19" i="17"/>
  <c r="X47" i="17"/>
  <c r="V67" i="17"/>
  <c r="BI86" i="8"/>
  <c r="U42" i="17"/>
  <c r="V62" i="17"/>
  <c r="BH67" i="8"/>
  <c r="AO74" i="17"/>
  <c r="AC53" i="17"/>
  <c r="BQ49" i="8"/>
  <c r="BK85" i="8"/>
  <c r="BF85" i="8"/>
  <c r="BF66" i="8"/>
  <c r="BR85" i="8"/>
  <c r="BN67" i="8"/>
  <c r="AF73" i="17"/>
  <c r="AF30" i="17"/>
  <c r="Y51" i="17"/>
  <c r="AE30" i="17"/>
  <c r="V86" i="17"/>
  <c r="AI85" i="17"/>
  <c r="AK86" i="17"/>
  <c r="AK10" i="17"/>
  <c r="BE43" i="8"/>
  <c r="AI61" i="17"/>
  <c r="BR60" i="8"/>
  <c r="BM53" i="8"/>
  <c r="BQ55" i="8"/>
  <c r="W44" i="17"/>
  <c r="BE74" i="8"/>
  <c r="AC16" i="17"/>
  <c r="AM10" i="17"/>
  <c r="AL28" i="17"/>
  <c r="AG44" i="17"/>
  <c r="AG56" i="17"/>
  <c r="AH19" i="17"/>
  <c r="BQ61" i="8"/>
  <c r="AE20" i="17"/>
  <c r="BE36" i="8"/>
  <c r="AL69" i="17"/>
  <c r="AK80" i="17"/>
  <c r="U55" i="17"/>
  <c r="AF53" i="17"/>
  <c r="V57" i="17"/>
  <c r="BS79" i="8"/>
  <c r="Y31" i="17"/>
  <c r="AC86" i="17"/>
  <c r="AD20" i="17"/>
  <c r="U52" i="17"/>
  <c r="W84" i="17"/>
  <c r="Y21" i="17"/>
  <c r="X30" i="17"/>
  <c r="AG74" i="17"/>
  <c r="AL36" i="17"/>
  <c r="AN51" i="17"/>
  <c r="Y20" i="17"/>
  <c r="BF74" i="8"/>
  <c r="Z38" i="17"/>
  <c r="BQ40" i="8"/>
  <c r="X57" i="17"/>
  <c r="BI50" i="8"/>
  <c r="BG69" i="8"/>
  <c r="AJ75" i="17"/>
  <c r="BB39" i="8"/>
  <c r="AH35" i="17"/>
  <c r="Z79" i="17"/>
  <c r="BE51" i="8"/>
  <c r="BI56" i="8"/>
  <c r="AB31" i="17"/>
  <c r="BK31" i="8"/>
  <c r="AJ79" i="17"/>
  <c r="AG70" i="17"/>
  <c r="V76" i="17"/>
  <c r="AA9" i="17"/>
  <c r="AA89" i="17" s="1"/>
  <c r="BJ31" i="8"/>
  <c r="BI75" i="8"/>
  <c r="AI28" i="17"/>
  <c r="AN70" i="17"/>
  <c r="AG77" i="17"/>
  <c r="AD18" i="17"/>
  <c r="AI62" i="17"/>
  <c r="AN54" i="17"/>
  <c r="BC49" i="8"/>
  <c r="AF42" i="17"/>
  <c r="AH37" i="17"/>
  <c r="AG84" i="17"/>
  <c r="BK38" i="8"/>
  <c r="Y47" i="17"/>
  <c r="AE53" i="17"/>
  <c r="AH72" i="17"/>
  <c r="AM9" i="17"/>
  <c r="AK69" i="17"/>
  <c r="U28" i="17"/>
  <c r="BJ72" i="8"/>
  <c r="AE45" i="17"/>
  <c r="V87" i="17"/>
  <c r="BH45" i="8"/>
  <c r="BN49" i="8"/>
  <c r="W19" i="17"/>
  <c r="BO37" i="8"/>
  <c r="AH74" i="17"/>
  <c r="AA28" i="17"/>
  <c r="BS59" i="8"/>
  <c r="AC85" i="17"/>
  <c r="AJ85" i="17"/>
  <c r="AH56" i="17"/>
  <c r="AM38" i="17"/>
  <c r="AC44" i="17"/>
  <c r="V59" i="17"/>
  <c r="AB56" i="17"/>
  <c r="X19" i="17"/>
  <c r="BG39" i="8"/>
  <c r="AB35" i="17"/>
  <c r="AM43" i="17"/>
  <c r="X29" i="17"/>
  <c r="AD16" i="17"/>
  <c r="W77" i="17"/>
  <c r="BO83" i="8"/>
  <c r="BB68" i="8"/>
  <c r="BG58" i="8"/>
  <c r="BR83" i="8"/>
  <c r="AL67" i="17"/>
  <c r="BK29" i="8"/>
  <c r="AN57" i="17"/>
  <c r="AG60" i="17"/>
  <c r="BS78" i="8"/>
  <c r="AG26" i="17"/>
  <c r="Z53" i="17"/>
  <c r="AA77" i="17"/>
  <c r="AO19" i="17"/>
  <c r="BN36" i="8"/>
  <c r="Z74" i="17"/>
  <c r="AC51" i="17"/>
  <c r="AF9" i="17"/>
  <c r="AF89" i="17" s="1"/>
  <c r="U68" i="17"/>
  <c r="AF57" i="17"/>
  <c r="BR71" i="8"/>
  <c r="BC83" i="8"/>
  <c r="V30" i="17"/>
  <c r="AG28" i="17"/>
  <c r="BF30" i="8"/>
  <c r="AL88" i="17"/>
  <c r="U51" i="17"/>
  <c r="AK39" i="17"/>
  <c r="U9" i="17"/>
  <c r="U89" i="17" s="1"/>
  <c r="BJ78" i="8"/>
  <c r="BC39" i="8"/>
  <c r="BF55" i="8"/>
  <c r="BI39" i="8"/>
  <c r="BP45" i="8"/>
  <c r="BK44" i="8"/>
  <c r="BM35" i="8"/>
  <c r="Y86" i="17"/>
  <c r="U75" i="17"/>
  <c r="AD42" i="17"/>
  <c r="Z85" i="17"/>
  <c r="BC54" i="8"/>
  <c r="AK68" i="17"/>
  <c r="W62" i="17"/>
  <c r="AI42" i="17"/>
  <c r="AO62" i="17"/>
  <c r="AA79" i="17"/>
  <c r="BK69" i="8"/>
  <c r="AD19" i="17"/>
  <c r="AM17" i="17"/>
  <c r="AH47" i="17"/>
  <c r="AB29" i="17"/>
  <c r="AM79" i="17"/>
  <c r="AL87" i="17"/>
  <c r="AM20" i="17"/>
  <c r="BO79" i="8"/>
  <c r="BL30" i="8"/>
  <c r="Z87" i="17"/>
  <c r="BL45" i="8"/>
  <c r="AI52" i="17"/>
  <c r="BH35" i="8"/>
  <c r="W56" i="17"/>
  <c r="AN72" i="17"/>
  <c r="V69" i="17"/>
  <c r="AF52" i="17"/>
  <c r="AB60" i="17"/>
  <c r="BN45" i="8"/>
  <c r="BS52" i="8"/>
  <c r="AC40" i="17"/>
  <c r="BQ43" i="8"/>
  <c r="BS36" i="8"/>
  <c r="AA43" i="17"/>
  <c r="X61" i="17"/>
  <c r="BJ54" i="8"/>
  <c r="AK11" i="17"/>
  <c r="AN18" i="17"/>
  <c r="BM75" i="8"/>
  <c r="AK18" i="17"/>
  <c r="BN38" i="8"/>
  <c r="AA88" i="17"/>
  <c r="AI84" i="17"/>
  <c r="AB40" i="17"/>
  <c r="BO86" i="8"/>
  <c r="AM47" i="17"/>
  <c r="Z16" i="17"/>
  <c r="V28" i="17"/>
  <c r="Z72" i="17"/>
  <c r="AH55" i="17"/>
  <c r="AB77" i="17"/>
  <c r="AO37" i="17"/>
  <c r="AG87" i="17"/>
  <c r="AC69" i="17"/>
  <c r="U38" i="17"/>
  <c r="AH9" i="17"/>
  <c r="AH89" i="17" s="1"/>
  <c r="BB69" i="8"/>
  <c r="Y27" i="17"/>
  <c r="V21" i="17"/>
  <c r="AG41" i="17"/>
  <c r="BQ69" i="8"/>
  <c r="AL60" i="17"/>
  <c r="AD79" i="17"/>
  <c r="BO39" i="8"/>
  <c r="BC51" i="8"/>
  <c r="Z57" i="17"/>
  <c r="BK52" i="8"/>
  <c r="BC85" i="8"/>
  <c r="AB9" i="17"/>
  <c r="AB89" i="17" s="1"/>
  <c r="AC77" i="17"/>
  <c r="AA45" i="17"/>
  <c r="AK58" i="17"/>
  <c r="AC35" i="17"/>
  <c r="AJ36" i="17"/>
  <c r="BK61" i="8"/>
  <c r="BO30" i="8"/>
  <c r="W59" i="17"/>
  <c r="BE40" i="8"/>
  <c r="AM53" i="17"/>
  <c r="AD72" i="17"/>
  <c r="BP74" i="8"/>
  <c r="BG75" i="8"/>
  <c r="BK50" i="8"/>
  <c r="BN60" i="8"/>
  <c r="W37" i="17"/>
  <c r="BQ39" i="8"/>
  <c r="X35" i="17"/>
  <c r="BE52" i="8"/>
  <c r="AO52" i="17"/>
  <c r="U35" i="17"/>
  <c r="BP67" i="8"/>
  <c r="AO45" i="17"/>
  <c r="Y79" i="17"/>
  <c r="BO74" i="8"/>
  <c r="BO55" i="8"/>
  <c r="BF73" i="8"/>
  <c r="BJ58" i="8"/>
  <c r="BF35" i="8"/>
  <c r="Y59" i="17"/>
  <c r="AK53" i="17"/>
  <c r="AA36" i="17"/>
  <c r="V35" i="17"/>
  <c r="AO61" i="17"/>
  <c r="AI74" i="17"/>
  <c r="BO50" i="8"/>
  <c r="BR75" i="8"/>
  <c r="AC62" i="17"/>
  <c r="AF10" i="17"/>
  <c r="AC19" i="17"/>
  <c r="AI79" i="17"/>
  <c r="BR55" i="8"/>
  <c r="AF18" i="17"/>
  <c r="BI71" i="8"/>
  <c r="AH86" i="17"/>
  <c r="AE80" i="17"/>
  <c r="AJ45" i="17"/>
  <c r="BS53" i="8"/>
  <c r="BE53" i="8"/>
  <c r="AH70" i="17"/>
  <c r="Z88" i="17"/>
  <c r="AI88" i="17"/>
  <c r="AN44" i="17"/>
  <c r="BP54" i="8"/>
  <c r="BF44" i="8"/>
  <c r="BJ53" i="8"/>
  <c r="AF72" i="17"/>
  <c r="AJ87" i="17"/>
  <c r="Y80" i="17"/>
  <c r="AD53" i="17"/>
  <c r="BD53" i="8"/>
  <c r="AK85" i="17"/>
  <c r="BF60" i="8"/>
  <c r="BD78" i="8"/>
  <c r="AM72" i="17"/>
  <c r="BM55" i="8"/>
  <c r="BC76" i="8"/>
  <c r="AB57" i="17"/>
  <c r="W73" i="17"/>
  <c r="BN51" i="8"/>
  <c r="AK52" i="17"/>
  <c r="AI76" i="17"/>
  <c r="BN37" i="8"/>
  <c r="BD42" i="8"/>
  <c r="BF43" i="8"/>
  <c r="BC37" i="8"/>
  <c r="BQ50" i="8"/>
  <c r="BC79" i="8"/>
  <c r="AM77" i="17"/>
  <c r="BG36" i="8"/>
  <c r="V37" i="17"/>
  <c r="AD70" i="17"/>
  <c r="Y58" i="17"/>
  <c r="BS74" i="8"/>
  <c r="V43" i="17"/>
  <c r="U85" i="17"/>
  <c r="AM70" i="17"/>
  <c r="BB51" i="8"/>
  <c r="BC42" i="8"/>
  <c r="BG72" i="8"/>
  <c r="BQ30" i="8"/>
  <c r="AB76" i="17"/>
  <c r="AG36" i="17"/>
  <c r="AL16" i="17"/>
  <c r="AJ70" i="17"/>
  <c r="AE86" i="17"/>
  <c r="Y26" i="17"/>
  <c r="AF54" i="17"/>
  <c r="AG43" i="17"/>
  <c r="AL29" i="17"/>
  <c r="AG55" i="17"/>
  <c r="AK29" i="17"/>
  <c r="BK72" i="8"/>
  <c r="BS56" i="8"/>
  <c r="BB61" i="8"/>
  <c r="BC69" i="8"/>
  <c r="AC58" i="17"/>
  <c r="BL79" i="8"/>
  <c r="BB72" i="8"/>
  <c r="Z55" i="17"/>
  <c r="U45" i="17"/>
  <c r="Y44" i="17"/>
  <c r="BG49" i="8"/>
  <c r="AM52" i="17"/>
  <c r="AG57" i="17"/>
  <c r="AE18" i="17"/>
  <c r="AO27" i="17"/>
  <c r="BG79" i="8"/>
  <c r="AH18" i="17"/>
  <c r="AD39" i="17"/>
  <c r="AJ21" i="17"/>
  <c r="AO73" i="17"/>
  <c r="AH59" i="17"/>
  <c r="BL76" i="8"/>
  <c r="AB58" i="17"/>
  <c r="BR57" i="8"/>
  <c r="AH69" i="17"/>
  <c r="BR59" i="8"/>
  <c r="BF57" i="8"/>
  <c r="Y55" i="17"/>
  <c r="AC79" i="17"/>
  <c r="AD10" i="17"/>
  <c r="AC42" i="17"/>
  <c r="Z35" i="17"/>
  <c r="AE42" i="17"/>
  <c r="AG73" i="17"/>
  <c r="AE52" i="17"/>
  <c r="BE67" i="8"/>
  <c r="U41" i="17"/>
  <c r="X52" i="17"/>
  <c r="AI18" i="17"/>
  <c r="V60" i="17"/>
  <c r="AG20" i="17"/>
  <c r="AC60" i="17"/>
  <c r="AF60" i="17"/>
  <c r="BH87" i="8"/>
  <c r="AH79" i="17"/>
  <c r="W10" i="17"/>
  <c r="AE17" i="17"/>
  <c r="AK74" i="17"/>
  <c r="W67" i="17"/>
  <c r="AA70" i="17"/>
  <c r="BI29" i="8"/>
  <c r="BE71" i="8"/>
  <c r="AC54" i="17"/>
  <c r="BR72" i="8"/>
  <c r="AH51" i="17"/>
  <c r="AL41" i="17"/>
  <c r="BP59" i="8"/>
  <c r="W75" i="17"/>
  <c r="AE43" i="17"/>
  <c r="BK67" i="8"/>
  <c r="BG59" i="8"/>
  <c r="BI66" i="8"/>
  <c r="AJ29" i="17"/>
  <c r="BK86" i="8"/>
  <c r="C55" i="22"/>
  <c r="C55" i="20"/>
  <c r="F45" i="22"/>
  <c r="F44" i="13"/>
  <c r="F45" i="20"/>
  <c r="C47" i="22"/>
  <c r="C47" i="20"/>
  <c r="C47" i="13"/>
  <c r="F49" i="22"/>
  <c r="F48" i="13"/>
  <c r="F49" i="20"/>
  <c r="F46" i="13"/>
  <c r="F47" i="20"/>
  <c r="F47" i="22"/>
  <c r="C53" i="22"/>
  <c r="C53" i="20"/>
  <c r="F44" i="22"/>
  <c r="F43" i="13"/>
  <c r="F44" i="20"/>
  <c r="BI44" i="8"/>
  <c r="BS58" i="8"/>
  <c r="BC50" i="8"/>
  <c r="BL56" i="8"/>
  <c r="BL85" i="8"/>
  <c r="BK79" i="8"/>
  <c r="BQ76" i="8"/>
  <c r="BR29" i="8"/>
  <c r="BE49" i="8"/>
  <c r="BH41" i="8"/>
  <c r="BE60" i="8"/>
  <c r="F48" i="22"/>
  <c r="F47" i="13"/>
  <c r="F48" i="20"/>
  <c r="W88" i="8" l="1"/>
  <c r="CH88" i="8"/>
  <c r="K10" i="20"/>
  <c r="I10" i="20"/>
  <c r="BQ88" i="8"/>
  <c r="BN88" i="8"/>
  <c r="BI88" i="8"/>
  <c r="V88" i="8"/>
  <c r="Z88" i="8"/>
  <c r="AF88" i="8"/>
  <c r="AO88" i="8"/>
  <c r="AB88" i="8"/>
  <c r="I13" i="22"/>
  <c r="K13" i="22"/>
  <c r="CB88" i="8"/>
  <c r="G13" i="22"/>
  <c r="E13" i="22"/>
  <c r="BO88" i="8"/>
  <c r="BD88" i="8"/>
  <c r="K8" i="20"/>
  <c r="I8" i="20"/>
  <c r="BL88" i="8"/>
  <c r="AG88" i="8"/>
  <c r="X88" i="8"/>
  <c r="AN88" i="8"/>
  <c r="AE88" i="8"/>
  <c r="AA88" i="8"/>
  <c r="CJ88" i="8"/>
  <c r="BZ88" i="8"/>
  <c r="BE88" i="8"/>
  <c r="G11" i="20"/>
  <c r="E11" i="20"/>
  <c r="U88" i="8"/>
  <c r="AL88" i="8"/>
  <c r="Y88" i="8"/>
  <c r="AH88" i="8"/>
  <c r="K8" i="22"/>
  <c r="I8" i="22"/>
  <c r="BW88" i="8"/>
  <c r="K7" i="22"/>
  <c r="I7" i="22"/>
  <c r="G12" i="22"/>
  <c r="E12" i="22"/>
  <c r="CC88" i="8"/>
  <c r="K9" i="20"/>
  <c r="I9" i="20"/>
  <c r="BS88" i="8"/>
  <c r="BK88" i="8"/>
  <c r="BF88" i="8"/>
  <c r="BH88" i="8"/>
  <c r="AD88" i="8"/>
  <c r="CD88" i="8"/>
  <c r="BV88" i="8"/>
  <c r="CF88" i="8"/>
  <c r="BG88" i="8"/>
  <c r="BM88" i="8"/>
  <c r="BJ88" i="8"/>
  <c r="G8" i="20"/>
  <c r="E8" i="20"/>
  <c r="E9" i="22"/>
  <c r="G9" i="22"/>
  <c r="BR88" i="8"/>
  <c r="BC88" i="8"/>
  <c r="AI88" i="8"/>
  <c r="AM88" i="8"/>
  <c r="AC88" i="8"/>
  <c r="E11" i="22"/>
  <c r="G11" i="22"/>
  <c r="E10" i="22"/>
  <c r="G10" i="22"/>
  <c r="CO88" i="8"/>
  <c r="CK88" i="8"/>
  <c r="K9" i="22"/>
  <c r="I9" i="22"/>
  <c r="E9" i="20"/>
  <c r="G9" i="20"/>
  <c r="K12" i="20"/>
  <c r="I12" i="20"/>
  <c r="G12" i="20"/>
  <c r="E12" i="20"/>
  <c r="AJ88" i="8"/>
  <c r="AK88" i="8"/>
  <c r="BX88" i="8"/>
  <c r="CA88" i="8"/>
  <c r="CL88" i="8"/>
  <c r="G7" i="22"/>
  <c r="E7" i="22"/>
  <c r="K10" i="22"/>
  <c r="I10" i="22"/>
  <c r="BY88" i="8"/>
  <c r="I11" i="22"/>
  <c r="K11" i="22"/>
  <c r="CI88" i="8"/>
  <c r="CG88" i="8"/>
  <c r="I11" i="20"/>
  <c r="K11" i="20"/>
  <c r="Q7" i="20"/>
  <c r="E7" i="20"/>
  <c r="G7" i="20"/>
  <c r="P7" i="22"/>
  <c r="Q7" i="22"/>
  <c r="P7" i="20"/>
  <c r="S7" i="20"/>
  <c r="R7" i="20"/>
  <c r="S7" i="22"/>
  <c r="R7" i="22"/>
  <c r="K7" i="20"/>
  <c r="I7" i="20"/>
  <c r="BB88" i="8"/>
  <c r="BP88" i="8"/>
  <c r="E10" i="20"/>
  <c r="G10" i="20"/>
  <c r="CN88" i="8"/>
  <c r="K12" i="22"/>
  <c r="I12" i="22"/>
  <c r="BU88" i="8"/>
  <c r="E8" i="22"/>
  <c r="G8" i="22"/>
  <c r="CM88" i="8"/>
  <c r="CE88" i="8"/>
  <c r="K8" i="23" l="1"/>
  <c r="K13" i="23"/>
  <c r="K12" i="23"/>
  <c r="K11" i="23"/>
  <c r="I8" i="23"/>
  <c r="I13" i="23"/>
  <c r="I11" i="23"/>
  <c r="E13" i="23"/>
  <c r="G13" i="23"/>
  <c r="K10" i="23"/>
  <c r="I10" i="23"/>
  <c r="I12" i="23"/>
  <c r="V9" i="23"/>
  <c r="X9" i="23"/>
  <c r="K10" i="13"/>
  <c r="I10" i="13"/>
  <c r="AB11" i="23"/>
  <c r="Z11" i="23"/>
  <c r="AB7" i="23"/>
  <c r="Z7" i="23"/>
  <c r="AB8" i="23"/>
  <c r="Z8" i="23"/>
  <c r="E11" i="23"/>
  <c r="G11" i="23"/>
  <c r="Z12" i="23"/>
  <c r="AB12" i="23"/>
  <c r="V10" i="23"/>
  <c r="X10" i="23"/>
  <c r="E8" i="13"/>
  <c r="G8" i="13"/>
  <c r="K7" i="13"/>
  <c r="I7" i="13"/>
  <c r="R7" i="13"/>
  <c r="S7" i="13"/>
  <c r="K13" i="13"/>
  <c r="I13" i="13"/>
  <c r="E11" i="13"/>
  <c r="G11" i="13"/>
  <c r="K9" i="23"/>
  <c r="I9" i="23"/>
  <c r="AB9" i="23"/>
  <c r="Z9" i="23"/>
  <c r="E7" i="13"/>
  <c r="G7" i="13"/>
  <c r="Q7" i="13"/>
  <c r="P7" i="13"/>
  <c r="V7" i="23"/>
  <c r="X7" i="23"/>
  <c r="E7" i="23"/>
  <c r="G7" i="23"/>
  <c r="G9" i="23"/>
  <c r="E9" i="23"/>
  <c r="X8" i="23"/>
  <c r="V8" i="23"/>
  <c r="Z10" i="23"/>
  <c r="AB10" i="23"/>
  <c r="X11" i="23"/>
  <c r="V11" i="23"/>
  <c r="G8" i="23"/>
  <c r="E8" i="23"/>
  <c r="K7" i="23"/>
  <c r="I7" i="23"/>
  <c r="V12" i="23"/>
  <c r="X12" i="23"/>
  <c r="K12" i="13"/>
  <c r="I12" i="13"/>
  <c r="E10" i="23"/>
  <c r="G10" i="23"/>
  <c r="I11" i="13"/>
  <c r="K11" i="13"/>
  <c r="G12" i="23"/>
  <c r="E12" i="23"/>
  <c r="K9" i="13"/>
  <c r="I9" i="13"/>
  <c r="E12" i="13"/>
  <c r="G12" i="13"/>
  <c r="E13" i="13"/>
  <c r="G13" i="13"/>
  <c r="G10" i="13"/>
  <c r="E10" i="13"/>
  <c r="I8" i="13"/>
  <c r="K8" i="13"/>
  <c r="G9" i="13"/>
  <c r="E9"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tc={7CB5BA12-90CC-4CFF-B3A6-ABEE9803605A}</author>
  </authors>
  <commentList>
    <comment ref="A38" authorId="0" shapeId="0" xr:uid="{7CB5BA12-90CC-4CFF-B3A6-ABEE9803605A}">
      <text>
        <t>[Threaded comment]
Your version of Excel allows you to read this threaded comment; however, any edits to it will get removed if the file is opened in a newer version of Excel. Learn more: https://go.microsoft.com/fwlink/?linkid=870924
Comment:
    Move metrics 30 and 31 into street environment and design category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tc={3E253CA9-64F8-47CE-952B-5634A326A330}</author>
  </authors>
  <commentList>
    <comment ref="A38" authorId="0" shapeId="0" xr:uid="{3E253CA9-64F8-47CE-952B-5634A326A330}">
      <text>
        <t>[Threaded comment]
Your version of Excel allows you to read this threaded comment; however, any edits to it will get removed if the file is opened in a newer version of Excel. Learn more: https://go.microsoft.com/fwlink/?linkid=870924
Comment:
    Move metrics 30 and 31 into Street environment and design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tc={22023C55-4A9B-4788-829A-58335476A88B}</author>
    <author>tc={DB00F883-221B-4A59-AF9A-8B3E34F4FB7D}</author>
  </authors>
  <commentList>
    <comment ref="AE28" authorId="0" shapeId="0" xr:uid="{22023C55-4A9B-4788-829A-58335476A88B}">
      <text>
        <t>[Threaded comment]
Your version of Excel allows you to read this threaded comment; however, any edits to it will get removed if the file is opened in a newer version of Excel. Learn more: https://go.microsoft.com/fwlink/?linkid=870924
Comment:
    @Dominic Smith @Andy Howard Please resolve this? If wording is changed, then changes need to be reflected in Scoring tab.
Reply:
    @Andy Howard @Lily Feasby I think this is now dealt with in metric 37 - so Andy's comment can be deleted?</t>
      </text>
    </comment>
    <comment ref="AE38" authorId="1" shapeId="0" xr:uid="{DB00F883-221B-4A59-AF9A-8B3E34F4FB7D}">
      <text>
        <t>[Threaded comment]
Your version of Excel allows you to read this threaded comment; however, any edits to it will get removed if the file is opened in a newer version of Excel. Learn more: https://go.microsoft.com/fwlink/?linkid=870924
Comment:
    @Andy Howard yes I agree with you. Can this be deleted as I think the metrics reflect what you're saying?</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<sst xmlns="http://schemas.openxmlformats.org/spreadsheetml/2006/main" count="3362" uniqueCount="1298">
  <si>
    <t>Get started</t>
  </si>
  <si>
    <t>What do the results mean?</t>
  </si>
  <si>
    <t>Get Started</t>
  </si>
  <si>
    <t>Name of checker</t>
  </si>
  <si>
    <t>Contact email address</t>
  </si>
  <si>
    <t>Name of street</t>
  </si>
  <si>
    <t>Date of check</t>
  </si>
  <si>
    <t>Street Type</t>
  </si>
  <si>
    <t>Are there any trams running along or crossing this street?</t>
  </si>
  <si>
    <t>Yes</t>
  </si>
  <si>
    <t>Are there any bus services running on this street?</t>
  </si>
  <si>
    <t>Scoring</t>
  </si>
  <si>
    <t>Walking</t>
  </si>
  <si>
    <t>Cycling</t>
  </si>
  <si>
    <t xml:space="preserve">Metric </t>
  </si>
  <si>
    <t>Streets for All Essentials Scores</t>
  </si>
  <si>
    <t>Additional Information</t>
  </si>
  <si>
    <t>Notes</t>
  </si>
  <si>
    <t>Amber/Critical Classification</t>
  </si>
  <si>
    <t>Dummy Column</t>
  </si>
  <si>
    <t>C</t>
  </si>
  <si>
    <t>Green and vibrant streets that are welcoming places to spend time in</t>
  </si>
  <si>
    <t>An attractive and inclusive walking environment</t>
  </si>
  <si>
    <t>A safe, convenient, and attractive cycling experience</t>
  </si>
  <si>
    <t>A reliable, integrated, and accessible public transport network</t>
  </si>
  <si>
    <t>Goods delivered on time with minimal impact on local communities</t>
  </si>
  <si>
    <t>Streets that enable people to drive less</t>
  </si>
  <si>
    <t>A future-proofed street network</t>
  </si>
  <si>
    <t>Column for SumIfs - Elements</t>
  </si>
  <si>
    <t>Metrics greyed out (based on Assessment Criteria in 'Project' tab) are not scored</t>
  </si>
  <si>
    <t>1. Junctions</t>
  </si>
  <si>
    <t>Remove dependant on Criteria in 'Project'</t>
  </si>
  <si>
    <t>Existing</t>
  </si>
  <si>
    <t>Proposed</t>
  </si>
  <si>
    <t>Maximum Existing Score</t>
  </si>
  <si>
    <t>Proposed Score</t>
  </si>
  <si>
    <t>Maximum Proposed Score</t>
  </si>
  <si>
    <t>Max Score</t>
  </si>
  <si>
    <t>Junctions</t>
  </si>
  <si>
    <t>W</t>
  </si>
  <si>
    <t>Left/right hook collisions at junctions or side roads</t>
  </si>
  <si>
    <t>Conflicting movements at major junctions not separated in time and space</t>
  </si>
  <si>
    <t>All conflicting streams separated in time and space at signalised junctions</t>
  </si>
  <si>
    <t>n/a</t>
  </si>
  <si>
    <t>Cycle safety at signalised junctions</t>
  </si>
  <si>
    <t>Assessing the poorest performing junction for cycle safety, there are no red scores affecting the axis of the route(s) being promoted under the JAT, but &lt;50% of all movements are assessed as green under the JAT</t>
  </si>
  <si>
    <t>Assessing the poorest performing junction for cycle safety, 50-79% of all movements are assessed as green under the JAT</t>
  </si>
  <si>
    <t>Assessing the poorest performing junction for cycle safety, 80% or more of all movements are assessed as green under the JAT</t>
  </si>
  <si>
    <t xml:space="preserve">Junction delay </t>
  </si>
  <si>
    <t xml:space="preserve">Technology to optimise efficiency of movement </t>
  </si>
  <si>
    <t xml:space="preserve">Technology to optimise efficiency of movement (pedestrians, cyclists, buses and general motor traffic) </t>
  </si>
  <si>
    <t xml:space="preserve">No detection and optimisation technology applied to traffic signals </t>
  </si>
  <si>
    <t xml:space="preserve">Some detection and optimisation technology has been applied to traffic signals </t>
  </si>
  <si>
    <t>2. Pedestrian Crossings (junction and mid-link)</t>
  </si>
  <si>
    <t>Crossings</t>
  </si>
  <si>
    <t>Formal crossing &lt;100m apart where PCU&gt;8000  Single lane crossing if PCU&lt;8000. Appropriate crossings provided on all major desire lines</t>
  </si>
  <si>
    <t>Standard of crossing facility</t>
  </si>
  <si>
    <t xml:space="preserve">Standard of crossing facility </t>
  </si>
  <si>
    <t>Signal crossing delay</t>
  </si>
  <si>
    <t>Delay to pedestrians at signal crossings</t>
  </si>
  <si>
    <t xml:space="preserve">Maximum waiting time &gt;60secs </t>
  </si>
  <si>
    <t>Maximum waiting time 40-60secs</t>
  </si>
  <si>
    <t>Maximum waiting time &lt;40secs or rest on red</t>
  </si>
  <si>
    <t>Crossing speed</t>
  </si>
  <si>
    <t>1.2m/s</t>
  </si>
  <si>
    <t>1m/s</t>
  </si>
  <si>
    <t>0.8m/s and/or technology to vary intergreen according to pedestrian crossing speed</t>
  </si>
  <si>
    <t>Pedestrian desire lines</t>
  </si>
  <si>
    <t>Not met</t>
  </si>
  <si>
    <t>Some met</t>
  </si>
  <si>
    <t>All met</t>
  </si>
  <si>
    <r>
      <t>3. Footway</t>
    </r>
    <r>
      <rPr>
        <b/>
        <i/>
        <sz val="12"/>
        <color theme="0"/>
        <rFont val="Calibri"/>
        <family val="2"/>
        <scheme val="minor"/>
      </rPr>
      <t xml:space="preserve"> (incl. shared use)</t>
    </r>
  </si>
  <si>
    <t>Footway (incl. shared use)</t>
  </si>
  <si>
    <t>Footway width</t>
  </si>
  <si>
    <t>Trip Hazards and Surface Quality</t>
  </si>
  <si>
    <t>Trip hazard and surface quality</t>
  </si>
  <si>
    <t xml:space="preserve">At the weakest point on the street there is at least one major defect (a level difference of 15mm or more) </t>
  </si>
  <si>
    <t>At the weakest point on the street there are many minor defects and/or many trip hazards</t>
  </si>
  <si>
    <t>At the weakest point on the street there are a few minor defects and/or a few trip hazards</t>
  </si>
  <si>
    <t xml:space="preserve">At the weakest point there is a smooth, non-slip surface and/or no trip hazards
</t>
  </si>
  <si>
    <t>Gradient on ramps and structures</t>
  </si>
  <si>
    <t>Uphill gradient over a specified distance on a ramps and structures</t>
  </si>
  <si>
    <t>&gt;5 per cent (1 in 20) over a distance of more than 30m on cycling or walking route</t>
  </si>
  <si>
    <t>3-5 per cent over a distance of more than 30m on cycling or walking route</t>
  </si>
  <si>
    <t>&lt;3 per cent over a distance of more than 30m on cycling or walking route</t>
  </si>
  <si>
    <t>A ramp should have the lowest practicable gradient. 1 in 20 is the preferred gradient and 1 in 12 is the absolute maximum acceptable. 
S 8300-2 explains that the preferred gradient should only be used up to a maximum length of 3000mm, and that the maximum gradient of 1 in 12 should only be used to a maximum length of 2000mm.</t>
  </si>
  <si>
    <t>Distance between shelter points</t>
  </si>
  <si>
    <t>Street exposed, &gt;150m</t>
  </si>
  <si>
    <t>Cover providing shade 50m-150m apart without cluttering the street environment</t>
  </si>
  <si>
    <t>Route tree lined, &lt;50m without cluttering the street environment</t>
  </si>
  <si>
    <t>Public seating</t>
  </si>
  <si>
    <t>Walking distance between resting points</t>
  </si>
  <si>
    <t>&gt;150m</t>
  </si>
  <si>
    <t>50m to150m without cluttering the street environment</t>
  </si>
  <si>
    <t>&lt;50m without cluttering the street environment</t>
  </si>
  <si>
    <t>Signing</t>
  </si>
  <si>
    <t>Basic direction signing (pedestrians and cyclists follow road signs and markings)</t>
  </si>
  <si>
    <t>Some cycle and pedestrians specific direction signing</t>
  </si>
  <si>
    <t>Consistent signing of range of routes and destinations at decision points</t>
  </si>
  <si>
    <t>4. Carriageway</t>
  </si>
  <si>
    <t>Carriageway</t>
  </si>
  <si>
    <t>Traffic speed</t>
  </si>
  <si>
    <t>Speed of traffic (where cyclists are not separated or pedestrians crossing uncontrolled)</t>
  </si>
  <si>
    <t>85th percentile greater than 30mph</t>
  </si>
  <si>
    <t>85th percentile greater than 25mph</t>
  </si>
  <si>
    <t>85th percentile 20-25mph</t>
  </si>
  <si>
    <t>85th percentile less than 20mph</t>
  </si>
  <si>
    <t>Traffic volume</t>
  </si>
  <si>
    <t>Total volume of traffic (where cyclists are not physically protected  or pedestrians cross uncontrolled)</t>
  </si>
  <si>
    <t>&gt;4,000 a day
&gt;400 in peak hour
(Two-way count, volume in PCUs)</t>
  </si>
  <si>
    <t>&gt;2,000 - 4,000 a day
&gt;200 - 400 in peak hour
(Two-way count, volume in PCUs)</t>
  </si>
  <si>
    <t>1,000 - 2,000 a day
100 - 200 in peak hour
(Two-way count, volume in PCUs)</t>
  </si>
  <si>
    <t>&lt;1,000 a day
&lt;100  in peak hour
or cycle street (no overtaking, 15mph design speed)
(Two-way count, volume in PCUs)</t>
  </si>
  <si>
    <t>Mix of large vehicles: risk of interaction with cyclists</t>
  </si>
  <si>
    <t>Space for cycling: secondary or primary position</t>
  </si>
  <si>
    <t>Clear nearside space in secondary position or motor vehicle volume in primary position</t>
  </si>
  <si>
    <t>Secondary position: &lt;1.5m clear space 
Primary position: high motor vehicle flow (&gt;4,000vpd)</t>
  </si>
  <si>
    <t>Secondary: 1.5-1.8m  (1.5m if physically protected) 
Primary: &gt;2,000-4,000 a day</t>
  </si>
  <si>
    <t>Secondary: 1.8-2.0m (or 1.5-2m if physically protected)
Primary: &gt;1,000-2,000 a day</t>
  </si>
  <si>
    <t>Secondary: &gt;2m 
Primary: &lt;1,000 a day</t>
  </si>
  <si>
    <t>Space for cycling: risk of collision from behind or alongside</t>
  </si>
  <si>
    <t>Collision alongside or from behind (if cyclists if not physically protected)</t>
  </si>
  <si>
    <t>Nearside lane in range 3.25 to 3.9m</t>
  </si>
  <si>
    <t>Cyclists in nearside traffic lanes (&lt;3.25 or &gt;3.9m) or effective width of  1.5m</t>
  </si>
  <si>
    <t>Cyclists effective width of  
at least 2m wide</t>
  </si>
  <si>
    <t>Cyclists separated from motorised 
traffic</t>
  </si>
  <si>
    <t>Space for cycling: next to kerbside activity</t>
  </si>
  <si>
    <t>Kerbside activity or risk of collision with door</t>
  </si>
  <si>
    <t>Cycle lanes alongside parking/loading with no buffer, or buffer &lt;0.5m</t>
  </si>
  <si>
    <t>Frequent kerbside activity / effective width for cyclists of 1.5m</t>
  </si>
  <si>
    <t>Less frequent kerbside activity / effective width for cyclists of 2m</t>
  </si>
  <si>
    <t>No kerbside activity / No interaction between cyclists and vehicles parking or loading</t>
  </si>
  <si>
    <t>Route deviation: Cycling</t>
  </si>
  <si>
    <t>Ability for cyclists to travel at own speed</t>
  </si>
  <si>
    <t>Ability to maintain own speed on links</t>
  </si>
  <si>
    <t>Cyclists travel at speed of slowest user ahead (including other cyclists and pedestrians)</t>
  </si>
  <si>
    <t>Cyclists can usually pass other users (including cyclists and pedestrians)</t>
  </si>
  <si>
    <t>Cyclists can always pass other users (including cyclists and pedestrians)</t>
  </si>
  <si>
    <t>Connectivity of the route to surrounding street and off-road network</t>
  </si>
  <si>
    <t>Ability to join/leave route safely and easily</t>
  </si>
  <si>
    <t>Cyclists cannot connect to other routes without  dismounting</t>
  </si>
  <si>
    <t>Cyclists share connections with motor traffic</t>
  </si>
  <si>
    <t>Cyclists have dedicated connections to other routes</t>
  </si>
  <si>
    <t>Carriageway defects impacting on cycling</t>
  </si>
  <si>
    <t>Defects: non cycle friendly ironworks, raised/ sunken covers/gullies</t>
  </si>
  <si>
    <t>Major defects</t>
  </si>
  <si>
    <t>Many minor defects</t>
  </si>
  <si>
    <t>Few minor defects</t>
  </si>
  <si>
    <t>Smooth, high-grip surface</t>
  </si>
  <si>
    <t>Carriageway construction: impacting on cycling</t>
  </si>
  <si>
    <t>Carriageway Surface/Construction type - Cycling</t>
  </si>
  <si>
    <t>Hand-laid asphalt, unstable blocks/sets or poorly laid un-smooth surface</t>
  </si>
  <si>
    <t>Machine laid asphalt concrete 
or HRA; smooth blocks</t>
  </si>
  <si>
    <t>Machine laid asphalt concrete; 
smooth and firm blocks 
undisturbed by turning vehicles, smoothly laid permeable surface</t>
  </si>
  <si>
    <t>Loading provision</t>
  </si>
  <si>
    <t xml:space="preserve">Impact of on street loading </t>
  </si>
  <si>
    <t>No designated provision - risk of abuse.</t>
  </si>
  <si>
    <t>Provision in street area.</t>
  </si>
  <si>
    <t xml:space="preserve">Low impact, integrated and enforced. </t>
  </si>
  <si>
    <t>Through movement of motor vehicles</t>
  </si>
  <si>
    <t>Measures taken to restrict the use of private cars</t>
  </si>
  <si>
    <t>5. Place Elements</t>
  </si>
  <si>
    <t>Place Elements</t>
  </si>
  <si>
    <t>Natural surveillance</t>
  </si>
  <si>
    <t>There is poor surveillance – because few buildings overlook the street or space, there is little activity. There are 'ambush spots',  and the street or space is poorly maintained</t>
  </si>
  <si>
    <t>There is intermittent surveillance – because surrounding buildings are single-use or do not completely overlook the street, or because there are few people using the space or walking through. The built environment is well designed and maintained.</t>
  </si>
  <si>
    <t xml:space="preserve">There is constant surveillance – because mixed use buildings overlook the street or space, or because there are many people using the space or walking through. Design of public spaces fosters positive use day and night. </t>
  </si>
  <si>
    <t>Lighting</t>
  </si>
  <si>
    <t>Quality of lighting to support personal safety and an attractive street environment</t>
  </si>
  <si>
    <t>No street lighting covering footways, which presents personal safety issues for pedestrians, especially women, children and more vulnerable groups.</t>
  </si>
  <si>
    <t>Street lighting provides intermittent coverage (e.g. better one side of the street than the other or obscured by vegetation)</t>
  </si>
  <si>
    <t>Street lighting provides good coverage on both sides of the street but not LED.</t>
  </si>
  <si>
    <t>Continuous LED street lighting with good coverage both sides of the street.</t>
  </si>
  <si>
    <t>Cycle parking</t>
  </si>
  <si>
    <t>Ease of access to secure cycle parking on- and off-street (If no new cycle parking is proposed, but existing cycle parking already meets the score for 2 prior to scheme intervention, then score 2)</t>
  </si>
  <si>
    <t xml:space="preserve">No additional secure cycle parking proposed </t>
  </si>
  <si>
    <t>London Plan Standards</t>
  </si>
  <si>
    <t>Amber</t>
  </si>
  <si>
    <t xml:space="preserve">The quantity of green or blue infrastructure and the number street trees have been increased by up to 30%. The planned green or blue infrastructure have been designed to help local nature recovery by providing habitat for insects and birds, with pollinator friendly planting selected. </t>
  </si>
  <si>
    <t>The quantity of green or blue infrastructure on the street, and the number of trees, has been increased by 30% or more. The planned green or blue infrastructure has been designed to help local nature recovery by providing habitat for insects and birds, with pollinator friendly planting selected</t>
  </si>
  <si>
    <t>Functionality of green and blue infrastructure (Resilience to extreme weather events)</t>
  </si>
  <si>
    <t>No attenuation or infiltration SuDS are proposed for the scheme</t>
  </si>
  <si>
    <t>Quality and type of surfacing materials and street furniture</t>
  </si>
  <si>
    <t>Contextual choice of materials and furniture and consideration given to street legibility for visually impaired users</t>
  </si>
  <si>
    <t>Materials are not matched to surroundings and/or poor legibility for visually impaired users</t>
  </si>
  <si>
    <t>Materials partially matched with surroundings, and good legibility for visually impaired users</t>
  </si>
  <si>
    <t>Materials fully in keeping with surroundings but good legibility for visually impaired users</t>
  </si>
  <si>
    <t>Permeability</t>
  </si>
  <si>
    <t>Area permeability and legibility</t>
  </si>
  <si>
    <t>Poorly defined area with few choices of routes or low quality routes. Poor legibility.</t>
  </si>
  <si>
    <t>Semi-legible area with some quality route choices.</t>
  </si>
  <si>
    <t xml:space="preserve">Well defined area that is clearly legible and offers appropriate amount of high-quality walking route options. </t>
  </si>
  <si>
    <t>Street activity and social interaction</t>
  </si>
  <si>
    <t>Street activity, social interaction and public space for community use</t>
  </si>
  <si>
    <t>Single-use area with low levels of active frontages and low levels of positive activity</t>
  </si>
  <si>
    <t>Mixed-use area with some active frontages and average levels of positive activity</t>
  </si>
  <si>
    <t>Highly-mixed area with vibrant public life across different times of the day and days of the week. Social interaction encouraged through street design choices.</t>
  </si>
  <si>
    <t xml:space="preserve">Street engagement for children e.g. play streets, interactive art, murals, urban greenery </t>
  </si>
  <si>
    <t>None</t>
  </si>
  <si>
    <t>Occasional greenery, play infrastructure, art etc.</t>
  </si>
  <si>
    <t>Greenery, play infrastructure, art etc located regularly and frequently along the route</t>
  </si>
  <si>
    <t>Impact of parking and servicing on the street</t>
  </si>
  <si>
    <t>Parking and loading functions well through practical and high-quality design features, with minimal impact on pedestrians and cyclists. OR no parking/loading present.</t>
  </si>
  <si>
    <t>Air quality</t>
  </si>
  <si>
    <t>Exposure to PM10 &amp; NOX  concentration</t>
  </si>
  <si>
    <r>
      <rPr>
        <b/>
        <sz val="10"/>
        <color theme="1"/>
        <rFont val="Calibri"/>
        <family val="2"/>
        <scheme val="minor"/>
      </rPr>
      <t>If assessing existing:</t>
    </r>
    <r>
      <rPr>
        <sz val="10"/>
        <color theme="1"/>
        <rFont val="Calibri"/>
        <family val="2"/>
        <scheme val="minor"/>
      </rPr>
      <t xml:space="preserve"> The NO2 concentration is greater than 40µg/m3(legal limit value). 
</t>
    </r>
    <r>
      <rPr>
        <b/>
        <sz val="10"/>
        <color theme="1"/>
        <rFont val="Calibri"/>
        <family val="2"/>
        <scheme val="minor"/>
      </rPr>
      <t>If assessing proposal:</t>
    </r>
    <r>
      <rPr>
        <sz val="10"/>
        <color theme="1"/>
        <rFont val="Calibri"/>
        <family val="2"/>
        <scheme val="minor"/>
      </rPr>
      <t xml:space="preserve"> The existing NO2 concentration is greater than 40µg/m3 with no proposal to reduce local traffic volume.</t>
    </r>
  </si>
  <si>
    <r>
      <rPr>
        <b/>
        <sz val="10"/>
        <color theme="1"/>
        <rFont val="Calibri"/>
        <family val="2"/>
        <scheme val="minor"/>
      </rPr>
      <t>If assessing existing:</t>
    </r>
    <r>
      <rPr>
        <sz val="10"/>
        <color theme="1"/>
        <rFont val="Calibri"/>
        <family val="2"/>
        <scheme val="minor"/>
      </rPr>
      <t xml:space="preserve"> The NO2 concentration is 32 to 40µg/m3. 
</t>
    </r>
    <r>
      <rPr>
        <b/>
        <sz val="10"/>
        <color theme="1"/>
        <rFont val="Calibri"/>
        <family val="2"/>
        <scheme val="minor"/>
      </rPr>
      <t xml:space="preserve">If assessing proposal: </t>
    </r>
    <r>
      <rPr>
        <sz val="10"/>
        <color theme="1"/>
        <rFont val="Calibri"/>
        <family val="2"/>
        <scheme val="minor"/>
      </rPr>
      <t>The existing NO2 concentration is 32 to 40µg/m3 with no proposal to reduce local traffic volume or the existing NO2 concentration is greater than 40µg/m3 with local traffic volume reduction measures proposed.</t>
    </r>
  </si>
  <si>
    <r>
      <rPr>
        <b/>
        <sz val="10"/>
        <color theme="1"/>
        <rFont val="Calibri"/>
        <family val="2"/>
        <scheme val="minor"/>
      </rPr>
      <t>If assessing existing:</t>
    </r>
    <r>
      <rPr>
        <sz val="10"/>
        <color theme="1"/>
        <rFont val="Calibri"/>
        <family val="2"/>
        <scheme val="minor"/>
      </rPr>
      <t xml:space="preserve"> The NO2 concentration is less than 32µg/m3. 
</t>
    </r>
    <r>
      <rPr>
        <b/>
        <sz val="10"/>
        <color theme="1"/>
        <rFont val="Calibri"/>
        <family val="2"/>
        <scheme val="minor"/>
      </rPr>
      <t xml:space="preserve">If assessing proposal: </t>
    </r>
    <r>
      <rPr>
        <sz val="10"/>
        <color theme="1"/>
        <rFont val="Calibri"/>
        <family val="2"/>
        <scheme val="minor"/>
      </rPr>
      <t xml:space="preserve">
The existing NO2 concentration is less than 32µg/m3 or  the existing concentration is 32 to 40µg/m3 with local traffic  volume reduction measures proposed.</t>
    </r>
  </si>
  <si>
    <t>6. Public Transport</t>
  </si>
  <si>
    <t>Interchanges</t>
  </si>
  <si>
    <t>Public Transport</t>
  </si>
  <si>
    <t>Interchange: provision for cyclists</t>
  </si>
  <si>
    <t>Smooth transition between modes or route continuity maintained through interchanges</t>
  </si>
  <si>
    <t>No consideration for cyclists within interchange area</t>
  </si>
  <si>
    <t>Cycle route continuity maintained through interchange and some secure cycle parking available</t>
  </si>
  <si>
    <t>Cycle route continuity maintained and plentiful secure cycle parking provided. Transport of cycles available.</t>
  </si>
  <si>
    <t>Step free access</t>
  </si>
  <si>
    <t>Street to station step free access</t>
  </si>
  <si>
    <t>There is no step-free access to the interchange</t>
  </si>
  <si>
    <t>The main entry point to the interchange is not step-free but step-free alternatives are provided.</t>
  </si>
  <si>
    <t>All entry points to the interchange are step-free. Possible to access platform(s) with a bike, either by ramp or lift.</t>
  </si>
  <si>
    <t>Pedestrian and cycle access</t>
  </si>
  <si>
    <t>Pedestrian access to transport interchange</t>
  </si>
  <si>
    <t>No pedestrian crossings or direct cycle access</t>
  </si>
  <si>
    <t>Pedestrian crossing within 100 meters. Short dismount required for cyclists (&lt;50m)</t>
  </si>
  <si>
    <t>Pedestrian crossing directly to interchange on pedestrian desire line. No dismount required for cyclists</t>
  </si>
  <si>
    <t>Bus &amp; rail/ tram interchange</t>
  </si>
  <si>
    <t>Bus stop connectivity with other public transport services</t>
  </si>
  <si>
    <t>The bus stop is more than 150m away from another service.</t>
  </si>
  <si>
    <t xml:space="preserve">The bus stop is between 50m and 150m away from another service. </t>
  </si>
  <si>
    <t xml:space="preserve">The bus stop is within sight of another service - less than 50m away. </t>
  </si>
  <si>
    <t>Buses</t>
  </si>
  <si>
    <t>Bus journey time</t>
  </si>
  <si>
    <t>Factors influencing bus passenger journey time and reliability</t>
  </si>
  <si>
    <t>Buses are mixed with traffic but not delayed or scheme has neutral impact on bus journey time.</t>
  </si>
  <si>
    <t>Bus stop accessibility</t>
  </si>
  <si>
    <t>Bus stops</t>
  </si>
  <si>
    <t>Waiting space, shelter and seating at bus stop</t>
  </si>
  <si>
    <t>Stop with &lt;40 boarders per day to provide sufficient space for passengers to wait without impacting footway space. 
Stop with &gt;40 boarders per day to provide accessible seating and adequate rain and sun shelter. There is sufficient space at peak times for passengers to wait without impacting footway space.</t>
  </si>
  <si>
    <t>Stop with &lt;40 boarders per day to provide sufficient space for passengers to wait without impacting footway space. Litter bin &amp; quality public realm around the stop.
Stop with &gt;40 boarders per day has stop has seating, rain and sun protection for 50% of peak customers. Sufficient space to wait at peak times without impacting footway space. Litter bin &amp; improvements to public space around stop provided.</t>
  </si>
  <si>
    <t>Customer information at bus stop</t>
  </si>
  <si>
    <t>Stop has an information board with an up-to-date timetable.
Stops with &gt;40 boarders have passive provision for Real Time Information Board in future (i.e. ducting &amp; electricity connection).</t>
  </si>
  <si>
    <t>There is an information board with an up-to-date timetable and Real Time Information board or other measure to access information.</t>
  </si>
  <si>
    <t>Perception of safety at stop, particularly for women, children and more vulnerable groups</t>
  </si>
  <si>
    <t>Stop is in unlit area/ no lighting is provided at the bus stop</t>
  </si>
  <si>
    <t xml:space="preserve">Stop is in well lit area/ basic lighting is provided at bus stop. </t>
  </si>
  <si>
    <t>Basic lighting provided at stops. Passive provision to upgrade lighting and CCTV in the future (i.e. ducting &amp; electricity connection).</t>
  </si>
  <si>
    <t xml:space="preserve">High quality lighting with CCTV and high footfall location. Perception that the stops feels safe at night, particularly for women, children and more vulnerable groups. </t>
  </si>
  <si>
    <t>Bus priority</t>
  </si>
  <si>
    <t>Bus priority measures</t>
  </si>
  <si>
    <t>No bus priority measures present.</t>
  </si>
  <si>
    <t>Basic measures to improve bus journey time present. e.g. signal priority for bus at junctions, removal of parking that impacts bus journeys, bus stop borders are delivered at stops.</t>
  </si>
  <si>
    <t>Significant bus priority measures present, e.g. signal priority, bus lanes, bus gates or bus/cycle only streets.</t>
  </si>
  <si>
    <t>Trams</t>
  </si>
  <si>
    <t>Space for cycling next to tramlines</t>
  </si>
  <si>
    <t>&lt;2.4m effective width from nearside tramrail on straights;  &lt;3.0m effective width from nearside tramrail on curves.</t>
  </si>
  <si>
    <t>&gt;2.4m effective width from nearside tramrail on straights;  &gt;3.0m effective width from nearside tramrail on curves.</t>
  </si>
  <si>
    <t>Tram line crossing angle for cyclists</t>
  </si>
  <si>
    <t>Crossing angle</t>
  </si>
  <si>
    <t>Crossing angle less than 60 degrees and/or turning movement for cyclist whilst crossing track</t>
  </si>
  <si>
    <t>Crossing angle between 60 and 80 degrees</t>
  </si>
  <si>
    <t>Crossing angle between 80 and 90 degrees.</t>
  </si>
  <si>
    <t>Crossing angle is 90 degrees or need to cross track removed</t>
  </si>
  <si>
    <t>7. Off-Highway</t>
  </si>
  <si>
    <t>Off-Highway</t>
  </si>
  <si>
    <t>Shared use</t>
  </si>
  <si>
    <t>&lt;3.0m effective width OR &lt;4m effective width with ped or cycle flows &gt;300 per hour</t>
  </si>
  <si>
    <t>3.0m effective width at ped or cycle flows &lt;300 per hour, or 4.0m effective width with ped or cycle flows &gt;300 per hour</t>
  </si>
  <si>
    <t>Above specified minimum provision for flows.</t>
  </si>
  <si>
    <t>Above specified minimum provision for flows with suggested route for cyclists.</t>
  </si>
  <si>
    <t>Barriers</t>
  </si>
  <si>
    <t>Bollards or barriers present with &lt;1.5m lateral clearance, or two chicane barriers placed &lt;3.5m apart or with minimum lateral clearance &lt;1.5m</t>
  </si>
  <si>
    <t>Bollards or barriers present with minimum 1.5m lateral clearance, or two chicane barriers placed a minimum 3.5m apart with minimum lateral clearance 1.5m</t>
  </si>
  <si>
    <t>No access control restrictions</t>
  </si>
  <si>
    <t>Surface Type</t>
  </si>
  <si>
    <t>Surface/Construction type</t>
  </si>
  <si>
    <t>Unsealed* surfaces (such as gravel or mud)</t>
  </si>
  <si>
    <t>Hand-laid asphalt or unstable blocks/sets</t>
  </si>
  <si>
    <t>Smooth and firm blocks or well-laid permeable/semi permeable bound surface.</t>
  </si>
  <si>
    <t>Smooth, sealed solid surfaces, such as machine laid asphalt or macadam</t>
  </si>
  <si>
    <t>Standard of lighting</t>
  </si>
  <si>
    <t>No lighting (minimum requirement solar road stud lights)</t>
  </si>
  <si>
    <t>Continuous solar road stud lights or equivalent.</t>
  </si>
  <si>
    <t>Continuous low-level powered lighting e.g. bollard lighting.</t>
  </si>
  <si>
    <t>Continuous full ambient street lighting</t>
  </si>
  <si>
    <t>Steps</t>
  </si>
  <si>
    <t>Existing steps or new/upgraded structures</t>
  </si>
  <si>
    <t>Steps present and no accessible alternative provided (e.g. a ramp as defined in section 5.2 of Inclusive Mobility)  OR ramp not in accordance with section 5.2 of Inclusive Mobility</t>
  </si>
  <si>
    <t>No steps but gradient greater than 1 in 20 (but otherwise in accordance with section 5.2 of Inclusive Mobility)</t>
  </si>
  <si>
    <t>No steps and gradient less than 1 in 20</t>
  </si>
  <si>
    <t>Existing Layout</t>
  </si>
  <si>
    <t xml:space="preserve">Proposed Layout </t>
  </si>
  <si>
    <t>SUMMARY</t>
  </si>
  <si>
    <t>NETWORK PRINCIPLE</t>
  </si>
  <si>
    <t>Score / Max. Score</t>
  </si>
  <si>
    <t>%</t>
  </si>
  <si>
    <t>1. Green and vibrant streets that are welcoming places to spend time in</t>
  </si>
  <si>
    <t>1. Green Streets</t>
  </si>
  <si>
    <t xml:space="preserve">Overall Streets for All Score </t>
  </si>
  <si>
    <t>2. An attractive and inclusive walking and wheeling environment</t>
  </si>
  <si>
    <t>2. Walking Environ- ment</t>
  </si>
  <si>
    <t>3. A safe, convenient, and attractive cycling experience</t>
  </si>
  <si>
    <t>3. Safe Cycling Experience</t>
  </si>
  <si>
    <t>4. A reliable, integrated, and accessible public transport network</t>
  </si>
  <si>
    <t>4. Reliable Public Transport</t>
  </si>
  <si>
    <t>5. Goods delivered on time with minimal impact on local communities</t>
  </si>
  <si>
    <t>5. Goods and Deliveries</t>
  </si>
  <si>
    <t>6. Streets that enable people to drive less</t>
  </si>
  <si>
    <t>6. Shift from Driving</t>
  </si>
  <si>
    <t>7. A future-proofed street network</t>
  </si>
  <si>
    <t>7. Future Proofed</t>
  </si>
  <si>
    <t>SCORES BY ELEMENT</t>
  </si>
  <si>
    <t>No. Metrics</t>
  </si>
  <si>
    <t>No. Metric Scores</t>
  </si>
  <si>
    <t>Basic (0)</t>
  </si>
  <si>
    <t>Good (1)</t>
  </si>
  <si>
    <t>Very Good (2)</t>
  </si>
  <si>
    <t>Proposed Layout</t>
  </si>
  <si>
    <t>How the score is generated</t>
  </si>
  <si>
    <t>Streets for All Essentials</t>
  </si>
  <si>
    <t>Metric</t>
  </si>
  <si>
    <t>ü</t>
  </si>
  <si>
    <t xml:space="preserve">Off-Highway </t>
  </si>
  <si>
    <t>Total</t>
  </si>
  <si>
    <t>Why this is important</t>
  </si>
  <si>
    <t>How to measure it</t>
  </si>
  <si>
    <t>Guidance available</t>
  </si>
  <si>
    <t>Unprotected hook movements at junctions are on of the most significant source of pedestrian and cyclist injury</t>
  </si>
  <si>
    <t>Assess every junction on the street and score the junction with the least mitigation measures in place. Refer to the national Junction Assessment Tool available at Appendix B of LTN 1/20</t>
  </si>
  <si>
    <t>Visit the site and assess every junction as you walk along each side of the street. Score the side road junction with least priority for cycles and pedestrians - i.e. the poorest performing junction. To score 2 you would need every side road junction to have a narrow, tight geometry and raised table or continuous footway. If any side road has a kerb radius of greater than 10m this represents a critical issue.</t>
  </si>
  <si>
    <t>Further info to follow</t>
  </si>
  <si>
    <t>inclusive-mobility-a-guide-to-best-practice-on-access-to-pedestrian-and-transport-infrastructure.pdf</t>
  </si>
  <si>
    <t>To ensure our footways and cycling routes are compliant with gradients set out in Inclusive Mobility guidance</t>
  </si>
  <si>
    <t>See Scoring Tab for details</t>
  </si>
  <si>
    <t>Anchor Housing report - Why seating matters</t>
  </si>
  <si>
    <t>Jane Jacobs and public safety</t>
  </si>
  <si>
    <t>BSI Standards Design of Road Lighting</t>
  </si>
  <si>
    <t>This is an amber metric, meaning if the score remains 0 in the proposed option, DRP will promote a conversation on the challenges faced to delivering GBI and discuss options to incorporate GBI into the design. GBI should be delivered on the route, not off-set elsewhere</t>
  </si>
  <si>
    <t>Making our streets inclusive for everyone | RNIB</t>
  </si>
  <si>
    <t>designing-streets-for-kids</t>
  </si>
  <si>
    <t>Data Hub | Clean Air Greater Manchester</t>
  </si>
  <si>
    <t>Yes/No</t>
  </si>
  <si>
    <t>Highway Status</t>
  </si>
  <si>
    <t>Score</t>
  </si>
  <si>
    <t>Score Value</t>
  </si>
  <si>
    <t>Ambers (Table Col. 1)</t>
  </si>
  <si>
    <t>Ambers (Table Col. 1) Pt 2</t>
  </si>
  <si>
    <t>Motorways &amp; Strategic roads</t>
  </si>
  <si>
    <t>No</t>
  </si>
  <si>
    <t>Connector roads</t>
  </si>
  <si>
    <t>High streets</t>
  </si>
  <si>
    <t>Active neighbourhoods</t>
  </si>
  <si>
    <t>Destination places</t>
  </si>
  <si>
    <t>Traffic Signs Manual – Chapter 6 - Traffic Control (publishing.service.gov.uk)</t>
  </si>
  <si>
    <t>Guidance on the Use of Tactile Paving Surfaces (publishing.service.gov.uk)</t>
  </si>
  <si>
    <t>Blister tactiles to be used at side roads and crossings in the correct configuration for the crossing type and with strong colour or tonal contrast to surrounding materials.</t>
  </si>
  <si>
    <t>inclusive-mobility-a-guide-to-best-practice-on-access-to-pedestrian-and-transport-infrastructure.pdf
https://content.tfl.gov.uk/pedestrian-comfort-guidance-technical-guide.pdf</t>
  </si>
  <si>
    <t>Bee Network wayfinding provided on routes meeting the necessary level of service in accordance with the signage strategy; other locations signed as appropriate</t>
  </si>
  <si>
    <t>With a measuring tape/topo/CAD and a survey or estimate of user numbers.</t>
  </si>
  <si>
    <t>From LTN 1/20 and derived from the following guidance: Tables 5.2 and 5.3 in the Design Manual for Bicycle Traffic, CROW Record 28, 2016; London Cycling Design Standards, Chapter 2, TfL 2016 and the Urban Bikeway Design Guide, NACTO, 2012. The numbers are based on the frequency of interactions between opposing vehicles at different speed/flow permutations and user satisfaction surveys (in the research for CROW and TfL design guides) which helped to define the points at which people feel uncomfortable sharing the carriageway</t>
  </si>
  <si>
    <t>Proportionate and depending on scale of scheme: minimum of peak counts.</t>
  </si>
  <si>
    <t>counts on site; bus timetable data.</t>
  </si>
  <si>
    <t>Cycle Infrastructure Design (publishing.service.gov.uk)</t>
  </si>
  <si>
    <t>LTN1/20: Section 4.4; Asection 5: 
Cycle Infrastructure Design (publishing.service.gov.uk)</t>
  </si>
  <si>
    <t>Loading and parking kerbside increase risk to people on bikes because of conflicting movements and opening doors.</t>
  </si>
  <si>
    <t>LTN 1/20 Table 7-3: Cycle Infrastructure Design (publishing.service.gov.uk)</t>
  </si>
  <si>
    <t>LTN1/20: Section 5: 
Cycle Infrastructure Design (publishing.service.gov.uk)</t>
  </si>
  <si>
    <t>LTN1/20: 6.2.47
Cycle Infrastructure Design (publishing.service.gov.uk)</t>
  </si>
  <si>
    <t>On-site audit of existing; specification/design of proposed.</t>
  </si>
  <si>
    <t>Maximum time taken to complete any movement through a junction when cycling compared to maximum time taken for the same movement by a motor vehicle.  For existing junctions it is sufficient to make site observation to assess timings.</t>
  </si>
  <si>
    <t>Maximum wait for pedestrians for a green signal</t>
  </si>
  <si>
    <t>Ensure that trip attractors are well-served by pedestrian infrastructure so that journeys that people need to make are possible.</t>
  </si>
  <si>
    <t>Observed 85%ile speed from surveys for baseline</t>
  </si>
  <si>
    <t>Measure the angle of cycle crossings of rails, allowing for the influence of other road users on positioning and route taken as necessary.</t>
  </si>
  <si>
    <t xml:space="preserve">Bike wheels can be trapped in the rail groove and cause accidents: the risk of this happening increases as the crossing angle reduces from 90 degrees. Turning movements on tram tracks can expose riders to an increased skid risk, especially in wet or icy weather. </t>
  </si>
  <si>
    <t>Number and design of measures including key dimensions. Consider swept-path of design vehicle LTN 1/20 Table 5-1</t>
  </si>
  <si>
    <t xml:space="preserve">Mountain bikers may tolerate dirt, but even they prefer to arrive home clean when possible. Bikes deteriorate and wear quicker when dirty, and for cycling to be a practical mode of transport, users need to arrive clean and dry. Loose or muddy surfaces pose a skid risk. Therefore quality, all-weather, permanent surfaces are required if routes are to be practical and safe to use year-round </t>
  </si>
  <si>
    <t>Effective width next to a tramline on straight or curved section</t>
  </si>
  <si>
    <t>When vehicles can turn at speed at junctions there is increased risk that they will seriously injure or kill people walking, cycling and spending time on streets. The higher speed also makes it more difficult, stressful and intimidating for people to cross junctions and creates delay whilst people are forced to wait to cross. The right of way which peds on footways and cyclists on the nearside have already can be supported and reinforced through the design of side road entrances through features such as continuous footways ('Copenhagen' crossings), raised tables, side road zebras and tight radii. Priority across side roads is critical to good cycling and walking facilities and creates a continuous unbroken facility.</t>
  </si>
  <si>
    <t>Delays frustrate the traveller regardless of mode. Maximising the efficiency allows more throughput of all traffic per unit time: spare capacity created could be allocated to active modes.</t>
  </si>
  <si>
    <t>LTN 1/20: Appendix B: Junction Assessment Tool</t>
  </si>
  <si>
    <t>Use guidance set out in GM Active Travel Design Guide &amp; Inclusive Mobility.</t>
  </si>
  <si>
    <t>Distance between cover</t>
  </si>
  <si>
    <t xml:space="preserve">The ease and convenience of the complete end-to-end journey needs to be considered: the best routes will take those travelling on bikes right to the door of their destination. </t>
  </si>
  <si>
    <t>Consider trip generators on or near the proposed scheme are served, and whether adjoining routes are properly connected without the need to dismount.</t>
  </si>
  <si>
    <t>Assess the materials used or proposed.</t>
  </si>
  <si>
    <t xml:space="preserve">Assess the existing or proposed layouts to determine if all possible general traffic movements have been maintained. </t>
  </si>
  <si>
    <t>LTN 1/20 page 15 Principle 17: Cycle Infrastructure Design (publishing.service.gov.uk)</t>
  </si>
  <si>
    <t xml:space="preserve">Like many areas across the country, we have illegal levels of air pollution on local roads in Greater Manchester (GM). Poor air quality affects everyone's health, particularly the most vulnerable people in society: deprived communities, children, elderly people and those with chronic conditions like asthma, heart disease, COPD, stroke and some cancers. It contributes to nearly 1,200 premature deaths in GM every year. </t>
  </si>
  <si>
    <t>Amber metric
Good integration with public transport can facilitate travel by active modes for longer trips. The impact of interchanges on route continuity, and the extent to which interchange to public transport is possible should be considered.</t>
  </si>
  <si>
    <t>Steps are not usable by all, and where no suitable alternative provision is made they clearly disadvantage people with disabilities. People on bikes must dismount and carry bikes up or down steps which is a major inconvenience or in many cases is not possible at all. Consider your duties under the Equality Act 2010.</t>
  </si>
  <si>
    <t>Does the scheme include existing or proposed steps to link to station/stop with no suitable alternative provided?</t>
  </si>
  <si>
    <t>Does the scheme include existing or proposed steps that the main axis of the route relies on for continuity with no suitable alternative?</t>
  </si>
  <si>
    <t>Smooth, firm and even surfaces reduce the energy expenditure required of riders, and aid comfort and control of their bike, and attractive finishes offer ambience benefits.</t>
  </si>
  <si>
    <t>Not all journeys may be made by active modes, and for those that cannot be, public transport is the next-most sustainable option. Reliable and quick public transport can also facilitate uptake of active modes. Consider if the existing or proposed scheme positively or negatively impacts public transport .</t>
  </si>
  <si>
    <t>Personal safety, and the perception of personal safety are key factors informing choice of mode and may be informed by the presence and type of lighting provided. Additionally, unlike cars or motorcycles, not all bikes will have powerful lights enabling travel in the dark where no other illumination is provided. Morning and evening peak hours in winter coincide with hours of darkness, and people on bikes (particularly shift workers) may need to travel at any time of day or night.</t>
  </si>
  <si>
    <t>Personal safety, and the perception of personal safety are key factors informing choice of mode and may be informed by the presence and type of lighting provided. How open and well-observed a location is also has an influence.</t>
  </si>
  <si>
    <t>Lack of knowledge of public transport routes, timetable information and ticketing/pricing are known to be key barriers to participation. Provide information to overcome this.</t>
  </si>
  <si>
    <t>Carriageway running lane width, traffic volume &amp; speed data</t>
  </si>
  <si>
    <t>Hand-held monitoring equipment, AQMA data</t>
  </si>
  <si>
    <t>Turning counts at key junctions. If no full turning counts available, a 15-minute peak time observation can be factored up by 4 to give a good guide to hourly peak turning movements.</t>
  </si>
  <si>
    <t>GM Active Travel Design Guide (covers LTN 1/20 and Inclusive Mobility)</t>
  </si>
  <si>
    <t>GM Active Travel Design Guide</t>
  </si>
  <si>
    <t xml:space="preserve">Convenience and journey time are two major factors informing travel choices: if the objective is to increase cycling mode share, then cycling needs to be at least as attractive as other modes, and therefore journey time through junctions when cycling should be at least as quick as other modes. </t>
  </si>
  <si>
    <t>Turning movements at junction pose a significant risk to a person cycling. This risk can be mitigated through the design of the junctions. At traffic light controlled junctions, people cycling can be given a separate phase to the turning motorised vehicles (for example through application of a CYCLOPS design). At all junctions the speed of motorised vehicles can be reduced by raising and narrowing the space for turning, or the number of turning vehicles can be reduced with banned turns, one-way, modal filters and vehicle restrictions.</t>
  </si>
  <si>
    <t>Delys cause frustration: forth optimal pedestrian experience, keep waiting times at signals to a minimum</t>
  </si>
  <si>
    <t>People travel at different speeds: for a design to be fully inclusive designers should consider whether the green time is sufficient for all pedestrians to comfortably cover the required distance. Consider older people,  those with mobility impairments, young children etc.</t>
  </si>
  <si>
    <t>Consider if crossings of severance lines are in place to allow access to key trip attractors</t>
  </si>
  <si>
    <t>It is essential that the designer considers all users and that highways and public spaces are accessible and legible to all. Tactile paving assists blind and partially sighted people to navigate safely and to conveys information about potential hazards. Note the updated tactile paving guidance issued 2021. Dropped kerbs assist all pedestrian users, but particularly those users of wheelchairs, prams, mobility scooters, walking frames, and people with mobility impairments, to overcome the grade separation between footway and carriageway.</t>
  </si>
  <si>
    <t>Footways need to be wide enough for the volumes of pedestrians expected to use them and be free from obstructions in the same way that the carriageway is clear for motor vehicles.</t>
  </si>
  <si>
    <t>Pedestrian comfort level is a calculation of the number of pedestrians passing through 1 square meter area of space per minute as a means of assessing whether footway provision is sufficient for the volume of users expected: see guidance.</t>
  </si>
  <si>
    <t>Climate change is bringing more extreme weather more frequently, including high temperatures and rainfall. Consider the resilience of infrastructure to these events and mitigation against the worst impacts including urban tree provision.</t>
  </si>
  <si>
    <t>Having inclusively designed street furniture promotes walking and provides rest places for people of all ages and abilities. Carefully placed clusters of benches and seating in public places offer opportunities to be sociable, play and enjoy the outdoors. Older people may not make journeys if there are not places to stop and rest.</t>
  </si>
  <si>
    <t>Shared use footways/cycleways are best avoided wherever possible, as they disadvantage cyclists who often must travel at pedestrian speed and make tight-radius turns, and pedestrians who are forced to share space with potentially faster-moving vehicles, effectively designing in conflict. Users with disabilities are disproportionately disadvantaged: bikes with more than two wheels do not work well where tight turns and level changes are necessary, and blind/partially sighted users do not feel comfortable sharing space with bikes. Where unavoidable, shared space needs to be wide enough to minimise conflict.</t>
  </si>
  <si>
    <t>Safety and comfort of people on bikes is related to traffic volume and speed; similarly, severance caused by traffic to pedestrians requiring signal-controlled crossings to be overcome.</t>
  </si>
  <si>
    <t>MCC right to query this. The evidence used to form the guidance is frequency of opposed interactions, so on a two-way street, total volume is applied; contraflow cycle provision should use full count; question as to what should be used for with-flow cycle provision, but safest assumption is to use full volume</t>
  </si>
  <si>
    <t>Where traffic volumes and speeds are low enough to allow cycling on the carriageway and mixing with general traffic, the decision as to cycle in primary or secondary position is partly informed by traffic volume. Where traffic volumes dictate that the design advocates cycling in the secondary position, there needs to be sufficient space for motor vehicles to safely overtake; where in the primary, volume needs to be low enough so that cyclists are not put under too much pressure from following traffic.</t>
  </si>
  <si>
    <t>Assuming traffic volume and speed are below threshold and allow for mixing of bikes with general traffic on the carriageway, awkward "in-between" lanes widths need to be avoided. Between 3.2m and 3.9m drivers cannot safely overtake within lane but may be mistaken into thinking that they can. 3.25m minimum is required on straight sections of bus routes; subject to tracking &gt;3.2m required on curves.</t>
  </si>
  <si>
    <t>carriageway running lane width: CAD, topo or if safe, a tape-measure!</t>
  </si>
  <si>
    <t>Estimate of parking/loading frequency; hours of operation of any TROs; width of cycle facilities/buffer</t>
  </si>
  <si>
    <t>People on bikes ride at different speeds, and like anyone else riders can be frustrated by being behind other slower riders. Therefore the ability to overtake safely is important. Given the speed differential between pedestrians and people on bikes, this metric highlights why shared spaces are not preferred.</t>
  </si>
  <si>
    <t>Using the design vehicle advocated by LTN 1/20 assess space for cycling to check for the possibility of overtaking and the accommodation of the expected volumes of users.</t>
  </si>
  <si>
    <t>Safety and comfort of people on bikes is partly determined by the surface on which they ride: serious injury or death may result from defects which may unseat a rider. Regardless of injuries sustained, the confidence of a rider may be destroyed with just one accident.</t>
  </si>
  <si>
    <t>In person site audit of existing facilities; specification of proposed facilities, followed by post-construction snagging.</t>
  </si>
  <si>
    <t xml:space="preserve"> The simplest, cheapest interventions can be the most effective. Reducing the volume of vehicles, particularly those that use inappropriate "rat-runs" may transform a neighbourhood and create an on-carriageway environment more conducive to cycling , walking and wheeling. Consideration should be given first to reducing volume and speed of motor vehicles before considering other methods of providing safe space for active modes.</t>
  </si>
  <si>
    <t xml:space="preserve">Concern around personal safety is a significant factor in constraining people's access to and use of public space, in particular those who may feel more vulnerable. Research shows that having 'eyes on the street' decreases the fear of crime and increases feelings of safety
</t>
  </si>
  <si>
    <t>Visit the street AM and PM, use your own experience but be aware of your own bias. Talk to people on the street/ using the space. Use data from public consultations. Undertake Women's Safety Audits.</t>
  </si>
  <si>
    <t>It is important that the changing climate is acknowledged in the specification of infrastructure. For example, consider if planting can withstand drought, will it be capable of surviving in extended periods of heavy rain with water-logged ground?</t>
  </si>
  <si>
    <t>The aesthetics of a scheme should be in harmony with their context, but it is also important to ensure that the choice of materials and finishes provides legibility for all users, especially those with cognitive or visual impairments: consistency of design, separation of modes and clear indication of priority are essential success factors.</t>
  </si>
  <si>
    <t>Frequency and distribution of street engagement interventions throughout scheme</t>
  </si>
  <si>
    <t xml:space="preserve">For certain streets, accommodating loading and servicing in allocated spaces allows for safer interaction between people and vehicles. It also frees up other spaces for peds, cycles, street trees etc. </t>
  </si>
  <si>
    <t xml:space="preserve">Trip length, time and convenience are two major factors which influence the choice of whether active modes are used or not. For all active modes, ensure that severance (for instance from busy roads) is overcome without adding to the distance needed to be travelled, and facilitate cycling right to the destination without the need for awkward manoeuvres or dismounting and walking. </t>
  </si>
  <si>
    <t>Public transport is competing against private car use for passengers, and therefore it is important to make it as easy as possible for people to make the right choice. Comfort will influence this, and for older people or people with disabilities, resting places may be critical factors informing whether travel is possible or not. Stops should provide enough space to allow other pedestrians to pass unhindered.</t>
  </si>
  <si>
    <t>To allow safe and comfortable space for cycling in a highway environment adjacent to trams taking into account the swept envelope of trams (formerly known as DKE). For routes adjacent to places where trams run in train mode, greater horizontal separation is required due to the significantly higher speeds.</t>
  </si>
  <si>
    <t xml:space="preserve">Shared use footways/cycleways are best avoided wherever possible, as they disadvantage cyclists who often must travel at pedestrian speed, and pedestrians who are forced to share space with potentially faster-moving vehicles, effectively designing in conflict. Users with disabilities are disproportionately disadvantaged, particularly blind/partially sighted users who may not feel comfortable sharing space with bikes. Where unavoidable, shared space needs to be wide enough to minimise conflict. Away from the highway and where </t>
  </si>
  <si>
    <t>Whilst it is desirable to exclude with hard engineering illegal users of off-highway routes, it is important that legitimate users are not excluded. Access control barriers are an inconvenience to all cyclists, especially those on cargo bikes, but particularly impact disabled users: those who may use adapted bikes, tricycles, mobility scooters etc. Be aware of your duties under the Equality Act 2010. Enforcement preferable to access controls.</t>
  </si>
  <si>
    <t>Presence and type of optimisation and detection equipment e.g. SCOOT, MOVA, piezo-detection tubes, countdown timers etc.</t>
  </si>
  <si>
    <t>Guidance on intergreen times</t>
  </si>
  <si>
    <t>Speed = time/distance</t>
  </si>
  <si>
    <t>bee_a_champion_2019_web.pdf (urbanmovement.co.uk)</t>
  </si>
  <si>
    <t>LTN 1/20:  Section 6.5; Table 6.3</t>
  </si>
  <si>
    <t>https://assets.publishing.service.gov.uk/government/uploads/system/uploads/attachment_data/file/951074/cycle-infrastructure-design-ltn-1-20.pdf</t>
  </si>
  <si>
    <t>LTN 1/20 Section 4.4</t>
  </si>
  <si>
    <t>https://www.susdrain.org/resources/ciria-guidance.html</t>
  </si>
  <si>
    <t>GM SuDS Design Guide (in development. Local Authority SuDS standards. CIRIA Guidance (see hyperlink)</t>
  </si>
  <si>
    <t xml:space="preserve">S4A Design Guide (In Development) </t>
  </si>
  <si>
    <t>https://content.tfl.gov.uk/kerbside-loading-guidance.pdf</t>
  </si>
  <si>
    <t>The form of streets should not be solely determined by its function and the designer should consider what opportunities there are to improve the ambience and aesthetics to create a sense of place. Our streets are social spaces and should provide spaces for people meet and support a sense of community.</t>
  </si>
  <si>
    <t>Streets that are designed with the needs of children and caregivers in mind better serve everyone using them, including older people and disabled people.  Children should be able to use streets for play, meeting their friends and enjoy freedom in their neighbourhoods. Consider utility trips with small children: easier to accomplish if there are engaging, interesting things to see and do on the way.</t>
  </si>
  <si>
    <t>Inclusive Mobility 2021</t>
  </si>
  <si>
    <t>https://www.gov.uk/government/publications/inclusive-mobility-making-transport-accessible-for-passengers-and-pedestrians</t>
  </si>
  <si>
    <t>Number of Category B</t>
  </si>
  <si>
    <t>REMAINING CATEGORY B Metrics</t>
  </si>
  <si>
    <t>A</t>
  </si>
  <si>
    <t>No / dated timetable information at stop.</t>
  </si>
  <si>
    <t>Bus customers wait on the footway without sufficient space to wait.
Stop with &gt;40 boarders per day with no shelter and seating provided.</t>
  </si>
  <si>
    <t xml:space="preserve"> The proportion of large vehicles is greater than 5% of motorised traffic in the peak hour. </t>
  </si>
  <si>
    <t xml:space="preserve"> The proportion of large vehicles is 2-5% of motorised traffic in the peak hour. </t>
  </si>
  <si>
    <t xml:space="preserve"> The proportion of large vehicles is less than 2% of motorised traffic in the peak hour. </t>
  </si>
  <si>
    <t>Interaction with large vehicles</t>
  </si>
  <si>
    <t>No interaction with large vehicles</t>
  </si>
  <si>
    <t>Large vehicles have correspondingly large blind spots. How frequently people on bikes interact with large vehicles determines risk exposure and has a direct impact on the comfort of the rider.</t>
  </si>
  <si>
    <t>Street has poor legibility for visually impaired users (e.g. lack of contrasting materials, lack of level difference separating pedestrians and cyclists or motor vehicles, or non contrasting level differences greater than 20mm)</t>
  </si>
  <si>
    <t>Metric Categories</t>
  </si>
  <si>
    <t>The crossing frequency is on the axis of the route being promoted. Note different criteria based on traffic volumes. If traffic volumes not known, take a 15 or 30 minute spot count and use locally available traffic count data to factor this up to an estimate of daily flow.</t>
  </si>
  <si>
    <t>Measures the appropriateness or otherwise of the crossing provision, based on the number of lanes and traffic flow.</t>
  </si>
  <si>
    <t>Assess crossing provision types and score accordingly.</t>
  </si>
  <si>
    <t>This metric assesses the likelihood of pedestrians coming into conflict with motor vehicles when crossing the road, and the appropriateness of the provision for crossing based on the volume of traffic</t>
  </si>
  <si>
    <t>Smooth, good quality surfaces aid pedestrians, especially those with mobility or visual impairments, for whom non-contrasting level differences can be a major trip hazard. Also improves ride quality and reduces risk to cyclists</t>
  </si>
  <si>
    <t>There are no access restrictions for private motor vehicles.</t>
  </si>
  <si>
    <t>There are some time or movement restrictions for private motor vehicles.</t>
  </si>
  <si>
    <t>There is no through-movement for private motor vehicles, with access limited to local residents, deliveries and public service vehicles.</t>
  </si>
  <si>
    <t>Speedy interchanges between public transport modes influences journey time and convenience factors for passengers: consider if your scheme can have a positive impact in this regard.</t>
  </si>
  <si>
    <t xml:space="preserve">Clearway = To ensure bus stops are clear of vehicles other than buses, allowing buses to dock against the kerbside ensuring access to the bus network for all. </t>
  </si>
  <si>
    <t xml:space="preserve">Traffic Signs Manual – Chapter 3 and 5 </t>
  </si>
  <si>
    <t>Bus stops should be accessible to all bus passengers, with unobstructed boarding area</t>
  </si>
  <si>
    <t>DfT Inclusive Mobility</t>
  </si>
  <si>
    <t xml:space="preserve">1.5m clear space between fixed objects on the footway - so between the shelter end panel and the kerb, for example.  People waiting don't trigger this as they could move to allow someone through. </t>
  </si>
  <si>
    <t xml:space="preserve">Bus is the most widely used public transport mode in Greater Manchester, accounting for four out of every five public transport trips. Schemes should look to, where possible, provide positive benefits for buses to improve journey times and journey reliability. </t>
  </si>
  <si>
    <t>Schemes should support Net Zero travel options. Does the scheme have a Carbon Management Plan?</t>
  </si>
  <si>
    <t>Safety and accessibility</t>
  </si>
  <si>
    <t>Central to achieving policy aspirations</t>
  </si>
  <si>
    <t>Good practice</t>
  </si>
  <si>
    <t>Category A (Table Col. 1)</t>
  </si>
  <si>
    <t>Categroy A (Table Col. 1) Pt 2</t>
  </si>
  <si>
    <t>Category A (Table Col.2)</t>
  </si>
  <si>
    <t>Category A (Table Col.2) Pt 2</t>
  </si>
  <si>
    <t>Consider the existing or proposed surface. Permeable or semi-permeable bound surfaces such as Flexipave or similar products are acceptable.</t>
  </si>
  <si>
    <t>People need to know how to get where they are going regardless of mode used to travel, but importantly for walking, cycling and wheeling, the level of service of the route available may determine whether the trip is possible or not. Therefore Bee Network signage only to be used where there has been assurance of the LoS of the route. Signage should be accessible for disabled people e.g. high contrast, large print, consistent (RNIB)</t>
  </si>
  <si>
    <t xml:space="preserve">Sufficient lighting discourages anti-social behaviour and increases sense of personal safety: people need to be confident they are safe when travelling or trips may not be made or may be made by other modes. Lighting can make us feel safer when walking at night.
 Bat friendly lighting is 2700k warm light. </t>
  </si>
  <si>
    <t xml:space="preserve"> https://www.sheffield.ac.uk/social-sciences/news/using-street-lighting-support-pedestrian-safety-night</t>
  </si>
  <si>
    <t>About the check</t>
  </si>
  <si>
    <t>Duplication of 1 and 2 - needs revision</t>
  </si>
  <si>
    <t>Talking about two-way streets. One-way streets treated on a case-by case basis.</t>
  </si>
  <si>
    <t>Cat A 20mm - legal threshold, height of a 2p.
0 Many, defects  &gt;20mm and 7mm
1 some defects  &gt;20mm and 7mm
2 no defects more than 6mm (flush kerb)</t>
  </si>
  <si>
    <t>Conflicting movements are separated in time or space at major junctions with dedicated stages/phases</t>
  </si>
  <si>
    <t>Delay to cyclists and pedestrians at junctions</t>
  </si>
  <si>
    <t>Wait for green phase longer than motor vehicles</t>
  </si>
  <si>
    <t>Wait for green phase the same as motor vehicles</t>
  </si>
  <si>
    <t>Wait for green phase less than motor vehicles</t>
  </si>
  <si>
    <t>All appropriate detection and optimisation technology has been applied to traffic signals and technology is used to facilitate longer green times/reduced waiting times for pedestrians</t>
  </si>
  <si>
    <t>Ramps of &gt;8 per cent (1 in 12) and/ or ramps are more than 2m length or without level resting areas, or no step free route; in accordance with Inclusive Mobility.</t>
  </si>
  <si>
    <t>Cover/distance between shelter (shade) points</t>
  </si>
  <si>
    <t>Deviation of route end-end vs shortest road alternative</t>
  </si>
  <si>
    <t>Deviation factor against shortest road alternative &gt; 1.4</t>
  </si>
  <si>
    <t>Deviation factor against shortest road alternative 1.2 - 1.4</t>
  </si>
  <si>
    <t>Deviation factor against shortest road alternative &lt; 1.2</t>
  </si>
  <si>
    <t>Quantity and quality of Green and Blue Infrastructure to support local nature recovery</t>
  </si>
  <si>
    <t>Quantity/area, continuity and quality of Green and Blue Infrastructure (including trees)</t>
  </si>
  <si>
    <t>No new green infrastructure is proposed and the quantity of existing green or blue infrastructure on the street will remain the same or reduce. Any existing trees or green or blue infrastructure affected by the proposal have been replaced on a like-for-like basis or less, and/or not in the immediate vicinity of the scheme.</t>
  </si>
  <si>
    <t>Functionality of green and blue infrastructure contributing to integrated water management (Resilience to extreme weather events)</t>
  </si>
  <si>
    <t>Multiple infiltration or attenuation SuDS are proposed throughout the scheme. These may be formed into a linked SuDS train and or enable disconnection of rainwater runoff into a water course. Or, net gain of permeable surfaces.</t>
  </si>
  <si>
    <t>Attenuation SuDS are proposed for the scheme. Or, no net-loss of permeable surfaces e.g. conversion of verge to cycle track using permeable materials</t>
  </si>
  <si>
    <t>Minimum levels of cycle parking provided to LTN 1/20 standards, suitable for short or long stay.</t>
  </si>
  <si>
    <t>Cycle parking is provided to LTN 1/20 standards to meet future demand. Consistent natural surveillance and/ or CCTV, and good level of lighting throughout day and night</t>
  </si>
  <si>
    <t>Wheelchair or double buggy user cannot pass the stop – &lt; 1m clear unobstructed footway width throughout stop zone
Wheelchair or double buggy cannot access freely between shelter, boarding point and/or footway passing stop &lt; 1m clearance for one or more movement.
No bus stop clearway
&lt; 2m clear boarding area length adjacent stop fag or, where present, along raised kerb
 &lt; 1.5m clear boarding area depth where footway width is &gt;=1.5m.
Kerb height at boarding point &lt; 125mm</t>
  </si>
  <si>
    <r>
      <t xml:space="preserve">Wheelchair user or double buggy can pass the stop – =&gt; more 1m clear unobstructed footway width throughout stop zone.
Wheelchair user can access and egress from shelter – &lt;1m clear widths
Bus stop clearway - effective length &lt; 23m
 =&gt; 2m clear boarding area length adjacent stop fag or, where present, along raised kerb
1.5m -  2m clear depth at boarding point </t>
    </r>
    <r>
      <rPr>
        <i/>
        <sz val="10"/>
        <color theme="1"/>
        <rFont val="Calibri"/>
        <family val="2"/>
        <scheme val="minor"/>
      </rPr>
      <t xml:space="preserve">or </t>
    </r>
    <r>
      <rPr>
        <sz val="10"/>
        <color theme="1"/>
        <rFont val="Calibri"/>
        <family val="2"/>
        <scheme val="minor"/>
      </rPr>
      <t>&lt; 1.5m clear boarding area depth where footway is &gt;=1.5m and localised widening / build out is not feasible.
Kerb height at boarding point 125mm – 135mm</t>
    </r>
  </si>
  <si>
    <t>Wheelchair user or double buggy can pass the stop – =&gt; more 1m clear unobstructed footway width throughout.
Wheelchair user can access and egress from shelter – &lt;1m clear widths
Bus stop clearway effective length 23-33m
 =&gt; 2m clear boarding area length adjacent stop fag or, where present, along raised kerb
=&gt;  2m clear depth at boarding point.
Kerb height at boarding point 135 – 160mm</t>
  </si>
  <si>
    <t>Wheelchair user or double buggy can pass each other when passing &gt;2m clear unobstructed footway width throughout stop zone
Wheelchair user can access and egress from shelter – &lt;1m clear widths
Bus stop clearway &gt;=33
 =&gt; 2m clear boarding area length adjacent stop fag or, where present, along raised kerb
=&gt;  2m clear depth at boarding point.
Kerb height at boarding point 135 – 160mm
Discretionary street furniture - e.g. Bins, located at least 2m outside stop zone.</t>
  </si>
  <si>
    <t>There are positive influences on bus journey time and reliability e.g. banned turns for vehicles other than bus, late running bus traffic signal priority, bus clearways that ensure bus stops are clear of vehicles other than buses, to speed up boarding and ensure buses are fully accessible via deployment of access ramp onto footway</t>
  </si>
  <si>
    <t>1: Response to context, frontage activity. E.g. school streets, materials through to front of shops?</t>
  </si>
  <si>
    <t>Add examples into 'How to measure' tab
Add in legibility?</t>
  </si>
  <si>
    <t>Street Engagement</t>
  </si>
  <si>
    <t>Parking, Loading and Servicing</t>
  </si>
  <si>
    <t>Formal crossing provision</t>
  </si>
  <si>
    <t>Formal crossing more than 400m apart where PCU&gt;8000. If parking and loading, no gaps in parking and loading on desire lines if PCU&lt;8000</t>
  </si>
  <si>
    <t>Formal crossing &gt;200m&lt;400m where PCU &gt;8000. If parking and loading, formalised loading/parking with crossing gaps if PCU&lt;8000</t>
  </si>
  <si>
    <t>Formal crossing &gt;100m&lt;200m 
where PCU&gt;8000.  If parking and loading, crossing gaps on desire lines if PCU&lt;8000</t>
  </si>
  <si>
    <t>Traffic volumes, parking and loading</t>
  </si>
  <si>
    <t>Issue</t>
  </si>
  <si>
    <t>All signal junctions to have green man stage(s). Controlled on major corridors. Crossings on any arm are two stage, or across the street are one stage.</t>
  </si>
  <si>
    <t xml:space="preserve">Not every arm has a green man pedestrian signal. Uncontrolled crossing of 2 or fewer lanes. Controlled crossings on any arm are more than two stage, or across the street are two stage. </t>
  </si>
  <si>
    <t>Uncontrolled crossing of  &gt;2 lanes. There no green man pedestrian facilities on any arm of the signalised junction.</t>
  </si>
  <si>
    <t xml:space="preserve">No continuity for cycles across side roads or unclear priority. No change to kerb radii. There are dropped kerbs at side roads but they are not flush, or they have no tactile paving. </t>
  </si>
  <si>
    <t>All signal junctions to have green man stage(s). Zebra crossings, or signalised crossing with pedestrian countdown. Crossings on each arm or across the street are single stage.</t>
  </si>
  <si>
    <t xml:space="preserve">Clear continuity across side roads, priority clear for all users. Some kerb radii meet Requirements. There are flush dropped kerbs and correctly installed tactile paving. </t>
  </si>
  <si>
    <t>Cyclist safety at junctions</t>
  </si>
  <si>
    <t>Heavy streams of turning traffic (&gt;100 in peak hour) across main cycling stream without separation in time or space</t>
  </si>
  <si>
    <t>A red score under the JAT has been found on one or more of the movements on the axis of the route(s) being promoted at any of the junctions on the route</t>
  </si>
  <si>
    <t>LTN 1/20 Junction Assessment Tool (JAT)</t>
  </si>
  <si>
    <t>Side road radii &gt;10m. There are no dropped kerbs, or there are dropped kerbs with incorrectly installed tactile paving.</t>
  </si>
  <si>
    <t>Standard of provision at side roads and tactile paving</t>
  </si>
  <si>
    <t>Pedestrian and cycle continuity, priority and legibility across side roads</t>
  </si>
  <si>
    <t>Critical</t>
  </si>
  <si>
    <t>Desire line crossings including attractor destinations such as schools and healthcare centres</t>
  </si>
  <si>
    <t>Undulating footways at vehicle crossovers</t>
  </si>
  <si>
    <t>Dropped kerb vehicle crossovers</t>
  </si>
  <si>
    <t>Dutch entrance kerbs, or equivalent, at all dropped vehicle crossovers to maximise width of footway at normal crossfall (2.5% max)</t>
  </si>
  <si>
    <t>Dutch entrance kerbs, or equivalent, at some dropped vehicle crossovers. Footway width (minimum of 900mm) is at normal footway crossfall (2.5% max).</t>
  </si>
  <si>
    <t>Whole footway width undulates at vehicle crossovers</t>
  </si>
  <si>
    <t>1: Use of appropriate design standards for context?  2: Posted speed and context 3:Something a bit more for motorised vehicles? - very cycle? 4: 85th percentile versus posted speed - needs to capture other considerations around speeding? 4: relates largely to carriageway considerations for cyclists - not other users - e.g. drivers?</t>
  </si>
  <si>
    <t>Impact of surroundings on natural surveillance, impacting the risk/fear of crime, particularly for women and girls</t>
  </si>
  <si>
    <t>LED or Incandescent not an issue. BS5489-1:2020 - warmer lighting is more appealing. Lighting levels, variability / uniformity, tree canopies, light for footways, cycle tracks,. Rural roads? Cross reference RSA?</t>
  </si>
  <si>
    <t>Opportunities taken to include green features - build outs, radii narrowing, gateways?</t>
  </si>
  <si>
    <t xml:space="preserve">Street functionality and quality of place for pedestrians and cyclists is severely impacted by parking and loading, e.g. pavement parking, infringement of loading/parking restrictions, delays to buses due to blocking of highway by service vehicles. </t>
  </si>
  <si>
    <t>Street functionality and quality of place is mildly impacted by parking and loading, with some design features present to mitigate impacts e.g. time-limited loading or multi-functional on-street bays</t>
  </si>
  <si>
    <t>not delay to buses - more around accessibility if not able to pull up parallel to kerb - can't deploy ramp etc.</t>
  </si>
  <si>
    <t>There are negative influences on bus journey time and reliability, e.g. unclear markings, narrow lane width, parking/loading issues, short cage length, mixing with congested traffic, bus laybys without operational need.</t>
  </si>
  <si>
    <t>Cycle track with horizonal and physical separation from other modes</t>
  </si>
  <si>
    <t>Existing Score</t>
  </si>
  <si>
    <t>Priority for cyclists and pedestrians across side roads. All kerb radii meet Requirements. Side roads closed, or raised crossings/ continuous footways on all side roads with correctly installed tactile paving.</t>
  </si>
  <si>
    <t>Category B</t>
  </si>
  <si>
    <t>Category C</t>
  </si>
  <si>
    <t>Clear pedestrian routes that maintain minimum unobstructed width throughout</t>
  </si>
  <si>
    <t>&lt;1.2m at any point on a pedestrian route</t>
  </si>
  <si>
    <t>3.3 and 3.4</t>
  </si>
  <si>
    <t>Column A table 3.3 and 3.4</t>
  </si>
  <si>
    <t>Column B table 3.3 and 3.3</t>
  </si>
  <si>
    <t>Column C table 3.3 and 3.2</t>
  </si>
  <si>
    <t>NEW METRIC - this will not be picked up by the 'results' tab yet.</t>
  </si>
  <si>
    <t>REMAINING CRITICAL METRICS</t>
  </si>
  <si>
    <t>Number of CRITICAL</t>
  </si>
  <si>
    <t>Requirements Tables ref.</t>
  </si>
  <si>
    <t>Health outcome</t>
  </si>
  <si>
    <t>Mitigation of potential risk</t>
  </si>
  <si>
    <t>Best possible health mitigation</t>
  </si>
  <si>
    <t>Pedestrians and Cyclists</t>
  </si>
  <si>
    <t>Pedestrian &amp; cyclist safety at signalised junctions</t>
  </si>
  <si>
    <t>No health change</t>
  </si>
  <si>
    <t>Cyclists</t>
  </si>
  <si>
    <t>Cyclists and pedestrians</t>
  </si>
  <si>
    <t>Pedestrian and cycle continuity and priority across side roads</t>
  </si>
  <si>
    <t>Continuity and priority across side roads</t>
  </si>
  <si>
    <t>Propensity to cycle</t>
  </si>
  <si>
    <t>Delay to cyclists at junctions</t>
  </si>
  <si>
    <t>No health outcome?</t>
  </si>
  <si>
    <t>Minimisation of risk</t>
  </si>
  <si>
    <t>Pedestrians</t>
  </si>
  <si>
    <t>Risk of conflict</t>
  </si>
  <si>
    <t>Kerbside activity or risk of crossing conflict</t>
  </si>
  <si>
    <t>No health outcome</t>
  </si>
  <si>
    <t>Desire line crossing including attractor destinations such as schools and healthcare centres</t>
  </si>
  <si>
    <t>As guidance</t>
  </si>
  <si>
    <t>Tactile paving and dropped kerbs</t>
  </si>
  <si>
    <t>Tactile paving and dropped kerbs on side roads and crossings</t>
  </si>
  <si>
    <t>Narrow paths may deter walking behaviours</t>
  </si>
  <si>
    <t>Adequate width of paths may increase walking for transport and for recreation</t>
  </si>
  <si>
    <t>Walking, functional loss, obesity</t>
  </si>
  <si>
    <t>Berke, 2007; Chiu, 2016; Sriram, 2016; Sugiyama, 2009,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</si>
  <si>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Clear continuous walking spaces free of obstructions and furniture (Pedestrian Comfort Level)</t>
  </si>
  <si>
    <t>Walking, functional loss, obesity, trips and falls</t>
  </si>
  <si>
    <t>I think the metric wording needs work: how do we account for level differences which are not defects e.g. a step? Previously we had "non-contrasting level difference of 20mm or more"</t>
  </si>
  <si>
    <t>Walking behaviour</t>
  </si>
  <si>
    <t>See Giles-Corti B, Bull F, Knuiman M, McCormack G, Van Niel K, Timperio A, Christian H, Foster S, Divitini M, Middleton N, Boruff B. The influence of urban design on neighbourhood walking following residential relocation: longitudinal results from the RESIDE study. Soc Sci Med. 2013 Jan;77:20-30. doi: 10.1016/j.socscimed.2012.10.016. Epub 2012 Nov 7. PMID: 23206559.</t>
  </si>
  <si>
    <t>Improved resilience to heat</t>
  </si>
  <si>
    <t>Max resilience to heat</t>
  </si>
  <si>
    <t>Cover/distance between shelter points</t>
  </si>
  <si>
    <t xml:space="preserve">Improved walkability encouraging activity </t>
  </si>
  <si>
    <t>Older adults</t>
  </si>
  <si>
    <t>Propensity to walk</t>
  </si>
  <si>
    <t>Bee A Champion training manual which has a section on wayfinding (see hyperlink)</t>
  </si>
  <si>
    <t>Risk mitigated</t>
  </si>
  <si>
    <t>Pedestrians and cyclists</t>
  </si>
  <si>
    <t>Injuries</t>
  </si>
  <si>
    <t>LTN 1/20:  Table 4.1
https://assets.publishing.service.gov.uk/government/uploads/system/uploads/attachment_data/file/951074/cycle-infrastructure-design-ltn-1-20.pdf</t>
  </si>
  <si>
    <t>Poor perceived safety leads to decreased cycling</t>
  </si>
  <si>
    <t>Improved conditions for cycling</t>
  </si>
  <si>
    <t>Best possible conditions</t>
  </si>
  <si>
    <t>Increased risk of cycle accidents and poor perceived safety leads to reduction in cycling behaviour</t>
  </si>
  <si>
    <t>Mitigation of harm</t>
  </si>
  <si>
    <t>No risk and Increased propensity to cycle</t>
  </si>
  <si>
    <t>Increased risk of cycle accidents</t>
  </si>
  <si>
    <t>No risk</t>
  </si>
  <si>
    <t>Deviation of route (against straight line)</t>
  </si>
  <si>
    <t>Bikes are human-powered machines and require the input of physical effort to move: the shorter the distance, the less the effort required. Cycling (and walking) are subject to distance decay: the longer the distance, the fewer the people who would be prepared to undertake the trip.</t>
  </si>
  <si>
    <t>Trundle-wheel, GIS, CAD, Google /Bing Maps, or paper map and string! Straight-line "A to B" distance vs the actual distance travelled via proposed route</t>
  </si>
  <si>
    <t>Increased risk of cycle accidents and low propensity to cycle</t>
  </si>
  <si>
    <t>Increased propensity to cycle</t>
  </si>
  <si>
    <t>No change</t>
  </si>
  <si>
    <t>High levels of perceived crime prevent people leaving house, leading to loss of function and inactivity</t>
  </si>
  <si>
    <t>Perceived safety encourages activity</t>
  </si>
  <si>
    <t>Adults, especially older adults and women</t>
  </si>
  <si>
    <t>Functional loss, activity, mental health,obesity</t>
  </si>
  <si>
    <t>Impact of surroundings on natural surveilance, impacting the risk/fear of crime, particularly for women and girls</t>
  </si>
  <si>
    <t>Poor lighting leads to poor perceived safety, resulting in residents staying indoors, leading to lack of activity and functional decline</t>
  </si>
  <si>
    <t>Improved conditions leads to some increases in activity</t>
  </si>
  <si>
    <t>Improved street lighting at night may lead to improved activity, especially for women</t>
  </si>
  <si>
    <t>Older adults, women</t>
  </si>
  <si>
    <t>Very high green space increase leads to mortality risk reductions as well as other health benefits</t>
  </si>
  <si>
    <t>All, especially older adults, pregnant women and children</t>
  </si>
  <si>
    <t>Mortality, activity, diabetes, obesity, mental health, cancer, child development and wellbeing</t>
  </si>
  <si>
    <t>Quantity and quality of Green and Blue Infrastructure</t>
  </si>
  <si>
    <t>Quantity and quality of Green and Blue Infrastructure (including trees)</t>
  </si>
  <si>
    <t>Larger reduction in flood risk leads to further health risk improvements</t>
  </si>
  <si>
    <t>All adults, older adults, those with disabilities or underlying health conditions</t>
  </si>
  <si>
    <t>Risk of trips and falls, reduced propensity to walk</t>
  </si>
  <si>
    <t>Risks mitigated</t>
  </si>
  <si>
    <t>Those with disabilities, older adults</t>
  </si>
  <si>
    <t>Trips and falls, propensity to walk</t>
  </si>
  <si>
    <t>Some increases in walking</t>
  </si>
  <si>
    <t xml:space="preserve">Areas that are both permeable (offers a choice of routes) and legible (transparency of use, inutitive to naviagte, landmarks to aid navigation, desire lines accommodated) facilitate walking/ wheeling trips. Clearly designated spaces for pedestrians help to facilitate walking/ wheeling trips. </t>
  </si>
  <si>
    <t>Street engagement</t>
  </si>
  <si>
    <t>Risk has been minimised</t>
  </si>
  <si>
    <t>Risk minimised</t>
  </si>
  <si>
    <t>All</t>
  </si>
  <si>
    <t>Street functionality</t>
  </si>
  <si>
    <t>Serious risk to health, including cancers, premature mortality, respiratory disease and CVD/Stroke</t>
  </si>
  <si>
    <t>Some mitigation of health risks due to air quality reduction strategies</t>
  </si>
  <si>
    <t>All, especially children, adults and those with chronic diseases</t>
  </si>
  <si>
    <t>New NOISE</t>
  </si>
  <si>
    <t>Exposure to traffic noise</t>
  </si>
  <si>
    <t>Levels of traffic noise over 50 Db(A) at night, or rated "Very annoying" in participants surveys</t>
  </si>
  <si>
    <t>Noise levels below 40Db(A) at night</t>
  </si>
  <si>
    <t>(If improvement) Reduction in noise levels by 10Db or more</t>
  </si>
  <si>
    <t>(If improvement) Noise reduction plus No reported noise annoyance</t>
  </si>
  <si>
    <t>*New metric suggested</t>
  </si>
  <si>
    <t>**NEW</t>
  </si>
  <si>
    <t>Traffic related noise</t>
  </si>
  <si>
    <t>Exposure to traffic noise at night</t>
  </si>
  <si>
    <t>Long term exposure to noise is associated with increased premature mortality and serious conditions such as CVD, stroke and diabetes.  It affects all ages, including children's health.</t>
  </si>
  <si>
    <t>External noise sensors or surveys on noise perception</t>
  </si>
  <si>
    <t>World Health Organisation Noise Guidelines https://www.who.int/europe/publications/i/item/9789289053563</t>
  </si>
  <si>
    <t>Cyclists, pedestrians</t>
  </si>
  <si>
    <t>Active travel mode</t>
  </si>
  <si>
    <t>Women</t>
  </si>
  <si>
    <t>Mental health</t>
  </si>
  <si>
    <t>Poor accessibility and longer travel times may lead to a reduction in active travel and poorer mental health outcomes</t>
  </si>
  <si>
    <t>High accessibility to public transport (represented by lower travel times to other areas) is associated with reductions in depression symptoms</t>
  </si>
  <si>
    <t>Adults, particularly men aged 50-64 and women aged 20-24</t>
  </si>
  <si>
    <t>Melis G, Gelormino E, Marra G, Ferracin E, Costa G. The Effects of the Urban Built Environment on Mental Health: A Cohort Study in a Large Northern Italian City. Int J Environ Res Public Health. 2015 Nov 20;12(11):14898-915. doi: 10.3390/ijerph121114898. PMID: 26610540; PMCID: PMC4661687.</t>
  </si>
  <si>
    <t>People with disabilities, children</t>
  </si>
  <si>
    <t>Active travel</t>
  </si>
  <si>
    <t>Propensity to active travel</t>
  </si>
  <si>
    <t>Older people, people with disabilities</t>
  </si>
  <si>
    <t>Poor lighting leads to poor perceived safety, resulting in averted trips, leading to lack of activity and functional decline</t>
  </si>
  <si>
    <t>Women and children</t>
  </si>
  <si>
    <t>Mental health, functional loss</t>
  </si>
  <si>
    <t>Increased risk of collision between cyclists and trams?</t>
  </si>
  <si>
    <t>Risk removed</t>
  </si>
  <si>
    <t>Collisions</t>
  </si>
  <si>
    <t>As guidance LTN1/20</t>
  </si>
  <si>
    <t xml:space="preserve">For nearside cycle provision:
Curved sections of track
-	Allow 1285mm measured from the nearside rail for the swept envelope
-	Add 200mm as recommended by UK Tram to edge of cycle lane
-	cycle lane minimum of 1500mm
Total 3000mm (rounded up for ease of reference)
Straight sections of track
-	Allow 700mm for the swept envelope measured from nearside rail
-	Add 200mm as recommended by UK Tram to edge of cycle lane
-	 cycle lane minimum width of 1500mm
Total 2400mm
</t>
  </si>
  <si>
    <t>Severe risk of accidents to cyclists crossing tracks</t>
  </si>
  <si>
    <t>LTN 1/20 6.6.18:
https://assets.publishing.service.gov.uk/government/uploads/system/uploads/attachment_data/file/951074/cycle-infrastructure-design-ltn-1-20.pdf
UKTram RSP2 Guidance Section 3.45:
https://uktram.com/wp-content/uploads/2018/07/Tramway-Principles-Guidance-Final-2.pdf</t>
  </si>
  <si>
    <t>Increased risk of accidents between cyclists and pedestrians, reduced propensity to walk or cycle</t>
  </si>
  <si>
    <t>Improved walking/ cycling activity</t>
  </si>
  <si>
    <t>Pedestrians, particularly those with disabilities, and reduced propensity to cycle</t>
  </si>
  <si>
    <t>Collisions between pedestrians and bikes, reduced activity, reduced propensity to cycle</t>
  </si>
  <si>
    <t>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</si>
  <si>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LTN 1/20:  Section 6.5; Table 6.3:
https://assets.publishing.service.gov.uk/government/uploads/system/uploads/attachment_data/file/951074/cycle-infrastructure-design-ltn-1-20.pdf</t>
  </si>
  <si>
    <t>walking and cycling activity reduced</t>
  </si>
  <si>
    <t>N/A</t>
  </si>
  <si>
    <t>Propensity to walk/ cycle</t>
  </si>
  <si>
    <t xml:space="preserve">LTN 1/20:  Table 5-1 and Section 8.3
https://assets.publishing.service.gov.uk/government/uploads/system/uploads/attachment_data/file/951074/cycle-infrastructure-design-ltn-1-20.pdf
</t>
  </si>
  <si>
    <t>Sustrans Greenway Design Guide Section 9 https://www.sustrans.org.uk/for-professionals/infrastructure/sustrans-traffic-free-routes-and-greenways-design-guide/sustrans-traffic-free-routes-and-greenways-design-guide-contents/2019-design-guidance/part-2-design-details/9-access-to-routes/</t>
  </si>
  <si>
    <t>Increased walking</t>
  </si>
  <si>
    <t>Highest increases to walking</t>
  </si>
  <si>
    <t>Adults, particularly older adults</t>
  </si>
  <si>
    <t>Trips and falls, walking</t>
  </si>
  <si>
    <t>LTN 1/20:  Section 15
https://assets.publishing.service.gov.uk/government/uploads/system/uploads/attachment_data/file/951074/cycle-infrastructure-design-ltn-1-20.pdf</t>
  </si>
  <si>
    <t>Reduced activity</t>
  </si>
  <si>
    <t>Improved activity</t>
  </si>
  <si>
    <t>Trips and falls, reduced activity</t>
  </si>
  <si>
    <t>Improved walking environment</t>
  </si>
  <si>
    <t>Older adults and those with disabilities</t>
  </si>
  <si>
    <t>How the score is generated: HEALTH ASSUMPTIONS</t>
  </si>
  <si>
    <t>HEALTH OUTCOMES</t>
  </si>
  <si>
    <t>Children</t>
  </si>
  <si>
    <t>Health outcomes scores</t>
  </si>
  <si>
    <t>People at risk scores</t>
  </si>
  <si>
    <t>Streets For All Design Check - Health outcomes</t>
  </si>
  <si>
    <t>User groups</t>
  </si>
  <si>
    <t>People with sensory/ sight impairments</t>
  </si>
  <si>
    <t>Non-car users</t>
  </si>
  <si>
    <t>How does this area affect health?</t>
  </si>
  <si>
    <t>Makes me feel safe and welcome</t>
  </si>
  <si>
    <t>Reduces risks from pollution and noise</t>
  </si>
  <si>
    <t>Resilient against climate risks</t>
  </si>
  <si>
    <t>Helps me to be fit and active</t>
  </si>
  <si>
    <t>People with mobility impairments</t>
  </si>
  <si>
    <t>People with underlying health problems</t>
  </si>
  <si>
    <t>No improvement to health</t>
  </si>
  <si>
    <t>Some health improvements</t>
  </si>
  <si>
    <t>Maximum health benefit</t>
  </si>
  <si>
    <t>Poor conditions for non-car users</t>
  </si>
  <si>
    <t>Some improvements for non-car users</t>
  </si>
  <si>
    <t>Improved propensity to cycle, walk and wheel</t>
  </si>
  <si>
    <t>Poor conditions for walking and wheeling</t>
  </si>
  <si>
    <t>Some improvement</t>
  </si>
  <si>
    <t>Increased propensity for active travel</t>
  </si>
  <si>
    <t>Higher mitigation of underlying risk of trips/ falls at all points</t>
  </si>
  <si>
    <t>Increased risk of trips and falls and walking behaviours may be reduced due to poor quality street surfaces.  Among adults with more severe impairment in neuromuscular and movement-related functions, the risk of reporting severe mobility disability can be four times greater when at least one street was in fair or poor condition (characterized by cracks, potholes, or broken curbs) (Clarke et al, 2008).</t>
  </si>
  <si>
    <t>Some hazards managed</t>
  </si>
  <si>
    <t>No hazards, good surface for walking encourages activity.  If street quality could be improved, even somewhat, for those adults at greatest risk for disability in outdoor mobility, the disablement process could be slowed or even reversed (Clarke et al, 2008).</t>
  </si>
  <si>
    <t>Steep gradients may deter walking and cycling behaviour</t>
  </si>
  <si>
    <t>Gradients improved, improved conditions for active travel</t>
  </si>
  <si>
    <t>Best possible conditions for active travel</t>
  </si>
  <si>
    <t>Injury risks managed, improved conditions for cycling and walking</t>
  </si>
  <si>
    <t>Improved conditions for walking/ cycling</t>
  </si>
  <si>
    <t>Reduced traffic volume and improved perception of safety may lead to increased propensity to cycle and walk</t>
  </si>
  <si>
    <t>Poor provision of green infrastructure may put residents at risk of lower mental wellbeing, higher rates of obesity, and higher blood pressure in children</t>
  </si>
  <si>
    <t>No attenuation of existing flood risk: inundation of the home can lead to long term health consequences even 3 years after a flood event.  Flooding can also have consequences in terms of prevention of access to essential services and health care.</t>
  </si>
  <si>
    <t>Reduced inundation risk for residents</t>
  </si>
  <si>
    <t>Poor connectivity between streets may lead to a reduction in walking and cycling.  Poor connectivity has also been associated with increased loss of physical function in older adults, leading to risk of disablement and loss of ability to carry out normal activities of daily living.</t>
  </si>
  <si>
    <t>High connectivity in an area may lead to increased walking and cycling, and reduce risks of disablement in older adults with pre-existing health conditions.</t>
  </si>
  <si>
    <t>Risk of injuries to cyclists and pedestrians, for example parked vehicles have been associated with increased risk of collision injuries</t>
  </si>
  <si>
    <t>Risks to health improved if some air quality levels reduced, but likely to still be harmful to health, especially if levels are above legal limit.</t>
  </si>
  <si>
    <t>Lack of access to the interchange for people with mobility problems, wheelchair users, those with bikes and buggies</t>
  </si>
  <si>
    <t>Improved access to the interchange encourages greater public transport use and active travel</t>
  </si>
  <si>
    <t>Access to the interchange is available to all, encouraging use of public transport and active travel</t>
  </si>
  <si>
    <t>Poor connectivity reduces public transport user</t>
  </si>
  <si>
    <t>Improved public transport use</t>
  </si>
  <si>
    <t>Encourages public transport use</t>
  </si>
  <si>
    <t>Lack of access to buses for people with mobility problems, wheelchair users, those with buggies, may lead to social isolation, poor wellbeing, inactivity and functional loss</t>
  </si>
  <si>
    <t>Improved access to buses encourages greater public transport use and active travel</t>
  </si>
  <si>
    <t>Puts off users from using public transport</t>
  </si>
  <si>
    <t>Increased risk of trips and falls, reduced walking</t>
  </si>
  <si>
    <t>Some improvements</t>
  </si>
  <si>
    <t>Cyclists and pedestrians, visually or physically impaired people</t>
  </si>
  <si>
    <t>Cyclists, walkers and non-car users</t>
  </si>
  <si>
    <t>Pedestrians, cyclists, non-car users</t>
  </si>
  <si>
    <t>Propensity to walk/cycle/be active</t>
  </si>
  <si>
    <t>People with sight or mobility issues, older adults</t>
  </si>
  <si>
    <t>Trips/ falls, mobility disability</t>
  </si>
  <si>
    <t>Clarke P, Ailshire JA, Bader M, Morenoff JD, House JS. Mobility disability and the urban built environment. Am J Epidemiol. 2008 Sep 1;168(5):506-13. doi: 10.1093/aje/kwn185. Epub 2008 Jul 30.</t>
  </si>
  <si>
    <t>Adults, especially older adults, people with mobility problems</t>
  </si>
  <si>
    <t>Adults, especially older adults, and cyclists</t>
  </si>
  <si>
    <t>Injuries, propensity to walk/ cycle</t>
  </si>
  <si>
    <t>All users, especially children</t>
  </si>
  <si>
    <t>Cyclists/ Pedestrians, children, older adults</t>
  </si>
  <si>
    <t>Functional loss</t>
  </si>
  <si>
    <t xml:space="preserve">(Flooding: mental health, pain, physical decline, PTSD) </t>
  </si>
  <si>
    <t>Older adults, people with physical disabilities</t>
  </si>
  <si>
    <t>Activity, hypertension, diabetes, functional loss</t>
  </si>
  <si>
    <t>Foster, 2004; Melis, 2015; Sriram, 2016;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
Freedman VA, Grafova IB, Schoeni RF, Rogowski J. Neighborhoods and disability in later life. Soc Sci Med. 2008 Jun;66(11):2253-67. doi: 10.1016/j.socscimed.2008.01.013. Epub 2008 Mar 10. PMID: 18329148; PMCID: PMC2478756.</t>
  </si>
  <si>
    <t>Mortality, mental health, respiratory disease and chronic diseaes including cancer, CVD and stroke</t>
  </si>
  <si>
    <t>Committee on the Medical Effects of Air Pollutants (COMEAP) (2009); Long-Term Exposure to Air Pollution: Effect on Mortality; Health Protection Agency, 2009.
Committee on the Medical Effects of Air Pollutants (COMEAP) (2010); The Mortality Effects of Long-Term Exposure to Particulate Air Pollution in the United Kingdom; Health Protection Agency for COMEAP, 2010 online at https://assets.publishing.service.gov.uk/government/uploads/system/uploads/attachment_data/file/304641/COMEAP_mortality_effects_of_long_term_exposure.pdf
Committee on the Medical Effects of Air Pollutants (COMEAP) (2015); Statement on the evidence for the effects of nitrogen dioxide on health, COMEAP, 2015 online at https://assets.publishing.service.gov.uk/government/uploads/system/uploads/attachment_data/file/411756/COMEAP_The_evidence_for_the_effects_of_nitrogen_dioxide.pdf
Committee on the Medical Effects of Air Pollutants (COMEAP) (2018); Statement on quantifying mortality associated with long-term average concentrations of fine particulate matter (PM2.5), Public Health England, 2018 online at https://assets.publishing.service.gov.uk/government/uploads/system/uploads/attachment_data/file/734813/COMEAP_PM_2.5_statement.pdf
Committee on the Medical Effects of Air Pollutants (COMEAP) (2018b); Associations of long-term average concentrations of nitrogen dioxide with mortality, Public Health England, 2018, online at https://assets.publishing.service.gov.uk/government/uploads/system/uploads/attachment_data/file/734799/COMEAP_NO2_Report.pdf
Committee on the Medical Effects of Air Pollutants (COMEAP) (2020); Summary of COMEAP recommendations for the quantification of health effects associated with air pollutants; COMEAP, 2020, online at www.publishing.service.gov.uk</t>
  </si>
  <si>
    <t>Mortality, mental health and chronic disease including diabetes and CVD</t>
  </si>
  <si>
    <t>People with disabilities, older adults, cyclists, children (in buggies)</t>
  </si>
  <si>
    <t>Propensity to use public transport/ active travel</t>
  </si>
  <si>
    <t>Adults, especially older adults and those with mobility disabilities and underlying health conditions</t>
  </si>
  <si>
    <t>Non-car users, particularly women</t>
  </si>
  <si>
    <t>People with visual/ sensory impairments</t>
  </si>
  <si>
    <t>Users who may be particularly affected by changes</t>
  </si>
  <si>
    <t>Streets For All Design Check - Users with specific needs</t>
  </si>
  <si>
    <t>Mobility impairments</t>
  </si>
  <si>
    <t>Visual/ sensory impairments</t>
  </si>
  <si>
    <t>How the score is generated: PEOPLE</t>
  </si>
  <si>
    <t>Encourages cycling</t>
  </si>
  <si>
    <t>Improves my mental health</t>
  </si>
  <si>
    <t>Public transport users</t>
  </si>
  <si>
    <t>Encourages walking and wheeling</t>
  </si>
  <si>
    <t>Safe and welcome</t>
  </si>
  <si>
    <t>Fit and active</t>
  </si>
  <si>
    <t>Mental Health</t>
  </si>
  <si>
    <t>Evidence or further guidance available</t>
  </si>
  <si>
    <t>Key: Definitions for health impacts</t>
  </si>
  <si>
    <t>Includes flooding and heat related conditions such as premature mortality, mental illness and chronic pain</t>
  </si>
  <si>
    <t>Includes impacts related to fear of crime and personal safety, feelings of inclusion in the community, and social isolation.  Can include loss of function related to inactivity due to not leaving the home</t>
  </si>
  <si>
    <t>Increased green infrastructure (such as parks, pocket parks, street trees etc.) leads to improvements in mental health, activity and reduced obesity risk - benefits may also be seen in improvements to biodiversity affecting NDVI scores (ie quantity of green space could remain the same, but intensity of planting may improve NDVI score)</t>
  </si>
  <si>
    <t>Includes all pedestrians, including those using walking aids, wheelchairs, prams, buggies and mobility aids and scooters.  Includes walking for leisure and for transport. Propensity to walk can be affected by permeability of an area, destinations to visit within walking distance, perception of safety and fear of falls, other users, quality of infrastructure and air/ noise pollution</t>
  </si>
  <si>
    <t>Includes propensity to leave the house, use parks and play areas and be active generally.  Outcomes include activity related conditions such as diabetes, obesity/ weight gain in adults and children, and loss of physical functioning or disablement, especially in those with pre-existing health conditions.</t>
  </si>
  <si>
    <t>SCORING ASSUMPTIONS ON HEALTH IMPACT</t>
  </si>
  <si>
    <t>Includes all types of trips by bike, including cycling for work and leisure.  Propensity to cycle can be affected by perception of safety on roads and fear of accidents, other users, quality of infrastructure and air/ noise pollution</t>
  </si>
  <si>
    <t xml:space="preserve">Mulvaney et al, 2015: 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
Pauw et al, 2014:  De Pauw, E., Daniels, S., Brijs, T., Hermans, E., &amp; Wets, G. (2014). Safety effects of an extensive black spot treatment programme in Flanders-Belgium. Accident; analysis and prevention, 66, 72–79. https://doi.org/10.1016/j.aap.2014.01.019
</t>
  </si>
  <si>
    <t xml:space="preserve">Clarke P, Ailshire JA, Bader M, Morenoff JD, House JS. Mobility disability and the urban built environment. Am J Epidemiol. 2008 Sep 1;168(5):506-13. doi: 10.1093/aje/kwn185. Epub 2008 Jul 30.
Pauw, 2014: De Pauw, E., Daniels, S., Brijs, T., Hermans, E., &amp; Wets, G. (2014). Safety effects of an extensive black spot treatment programme in Flanders-Belgium. Accident; analysis and prevention, 66, 72–79. https://doi.org/10.1016/j.aap.2014.01.019
</t>
  </si>
  <si>
    <t>Department for Transport (2020); Cycle Infrastructure Design; LTN 1/20, Stationery Office, Norwich, 2020.</t>
  </si>
  <si>
    <t>Quistberg, D. A., Koepsell, T. D., Miranda, J. J., Ng Boyle, L., Johnston, B. D., &amp; Ebel, B. E. (2015). The walking environment in Lima, Peru and pedestrian-motor vehicle collisions: an exploratory analysis. Traffic injury prevention, 16(3), 314–321. https://doi.org/10.1080/15389588.2014.930830</t>
  </si>
  <si>
    <t>Sustrans (2023) Disabled Citizens Inquiry: Giving disabled people a voice in walking and cycling, Sustrans, online at https://www.sustrans.org.uk/media/11708/sustrans-disabled-citizens-inquiry-full-report.pdf [Accessed 2023-12-01]</t>
  </si>
  <si>
    <t>Improvements in walking conditions</t>
  </si>
  <si>
    <t>Increased propensity for walking</t>
  </si>
  <si>
    <t>Pedestrians, older adults, those with mobility disabilities</t>
  </si>
  <si>
    <t>Balfour JL, Kaplan GA. Neighborhood environment and loss of physical function in older adults: evidence from the Alameda County Study. Am J Epidemiol. 2002 Mar 15;155(6):507-15. doi: 10.1093/aje/155.6.507. PMID: 11882524.</t>
  </si>
  <si>
    <t>Reduced activity, functional loss</t>
  </si>
  <si>
    <t>Includes non-communicable diseases such as cancer, heart disease, respiratory illness, mental illness, emotional disorders and premature mortality.  High perceived noise and air pollution can also deter people from active travel modes.</t>
  </si>
  <si>
    <t>All users</t>
  </si>
  <si>
    <t>Older adults, those with mobility disabilities and pre-existing health conditions</t>
  </si>
  <si>
    <t>Propensity to walk/cycle, trips and falls, physical mobility/ disability risk</t>
  </si>
  <si>
    <t>Increased perceived risk of injuries to cyclists and pedestrians from turning traffic</t>
  </si>
  <si>
    <t>Increased perceived risk of injuries to cyclists</t>
  </si>
  <si>
    <t>Increased perceived risk of injuries to cyclists, and people walking and wheeling.  Lack of dropped kerbs can lead to deterioration of physical mobility in people with mobility impairments</t>
  </si>
  <si>
    <t>Increased perceived risk of collisions</t>
  </si>
  <si>
    <t>Mitigation of underlying perceived risk of acccidents</t>
  </si>
  <si>
    <t>Increased perceived risk of collisions, propensity to walk</t>
  </si>
  <si>
    <t>Increased perceived risk of collisions, poor walking environment leads to trips and falls and can lead to increasing disability amongst those with pre-existing conditions</t>
  </si>
  <si>
    <t>Mitigation of underlying perceived risk in some points</t>
  </si>
  <si>
    <t>High speeds associated with increased perceived risk of injuries from collisions, particularly in children.  Speeds &gt;30mph may also reduce walking and cycling behaviour</t>
  </si>
  <si>
    <t>Mitigation of potential  risk. Dropped kerbs can help to prevent mobility disability and promote independence in adults at greatest perceived risk, such as those with underlying weakness in movement-related functions and balance.</t>
  </si>
  <si>
    <t>Perceived risk of collisions between users puts walkers and cyclists off from using space</t>
  </si>
  <si>
    <t>Type of surfacing and exposure to traffic noise</t>
  </si>
  <si>
    <t>Thin surface course (small aggregate)</t>
  </si>
  <si>
    <t>Noise reducing surfaces may significantly reduce noise from car tyres and reduce perceived noise annoyance</t>
  </si>
  <si>
    <t>Improvement in surfacing leads to some reductions in traffic related noise and noise annoyance</t>
  </si>
  <si>
    <t>High traffic volumes are associated with increased perceived risk of collision injuries, especially for children.  High traffic volumes also may deter walking and cycling behaviours, and increase risk of health impacts related to noise.</t>
  </si>
  <si>
    <t>Injury risks managed, improved conditions for cycling and walking. Reduced traffic noise may reduce risks of chronic diseases and premature mortality.</t>
  </si>
  <si>
    <t>Best possible conditions.  Reduced traffic noise from large vehicles may reduce risks of chronic diseases and premature mortality.</t>
  </si>
  <si>
    <t>Poor perceived safety leads to decreased cycling. Large vehicles may add to traffic related noise levels, leading to an increased risk of health impacts related to noise.</t>
  </si>
  <si>
    <t>Propensity to walk/ cycle, noise related impacts such as mortality, mental health and chronic disease including diabetes and CVD.</t>
  </si>
  <si>
    <t>Children, Adults, Cyclists, People with underlying health conditions</t>
  </si>
  <si>
    <t>Propensity to cycle, noise related impacts such as mortality, mental health and chronic disease including diabetes and CVD.</t>
  </si>
  <si>
    <t>Road surface course: Hot Rolled Asphalt (HRA) (Big Aggregate)</t>
  </si>
  <si>
    <t>Road surface course: Stone Mastic Asphalt (SMA) (Medium aggregate)</t>
  </si>
  <si>
    <t>Road surfacing</t>
  </si>
  <si>
    <t>Some road surfacing types may increase noise from car tyres; a significant source of traffic related noise.  High levels of noise are associated with premature mortality, diabetes, poor mental wellbeing, emotional disorders in children, cardiovascular problems and sleep disturbances.  Noise can also deter people from walking.</t>
  </si>
  <si>
    <t xml:space="preserve">Mental health and wellbeing can be improved by the perceived quality and safety of public realm and green infrastructure, and can be adversely affected by noise, air pollution and social isolation. Includes exacerbation of existing mental illness and increased risk of depression and emotional disorders as well as changes in wellbeing.  </t>
  </si>
  <si>
    <t>What are the health results?</t>
  </si>
  <si>
    <t>People at risk</t>
  </si>
  <si>
    <t>PEOPLE AT RISK AND HEALTH OUTCOMES</t>
  </si>
  <si>
    <t xml:space="preserve">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t>
  </si>
  <si>
    <t>Cottrell, 2006; Elvik, 2013; Novoa, 2010; Rothman, 2015; Yannis, and Mulvaney et al, 2015: 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t>
  </si>
  <si>
    <t>Mulvaney CA, Smith S, Watson MC, Parkin J, Coupland C, Miller P, Kendrick D, McClintock H Mulvaney CA, Smith S, Watson MC, Parkin J, Coupland C, Miller P, Kendrick D, McClintock H. Cycling infrastructure for reducing cycling injuries in cyclists. Cochrane Database of Systematic Reviews 2015, Issue 12. Art. No.: CD010415. DOI: 10.1002/14651858.CD010415.pub2</t>
  </si>
  <si>
    <t xml:space="preserve">Balfour JL, Kaplan GA. Neighborhood environment and loss of physical function in older adults: evidence from the Alameda County Study. Am J Epidemiol. 2002 Mar 15;155(6):507-15. doi: 10.1093/aje/155.6.507. PMID: 11882524.
Addy, C. L., Wilson, D. K., Kirtland, K. A., Ainsworth, B. E., Sharpe, P., &amp; Kimsey, D. (2004). Associations of perceived social and physical environmental supports with physical activity and walking behavior. American journal of public health, 94(3), 440–443. https://doi.org/10.2105/ajph.94.3.440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t>
  </si>
  <si>
    <t>Balfour JL, Kaplan GA. Neighborhood environment and loss of physical function in older adults: evidence from the Alameda County Study. Am J Epidemiol. 2002 Mar 15;155(6):507-15. doi: 10.1093/aje/155.6.507. PMID: 11882524.
Berglund, E., Westerling, R., &amp; Lytsy, P. (2017) Housing Type and Neighbourhood Safety Behaviour Predicts Self-rated Health, Psychological Wellbeing and Frequency of Recent Unhealthy Days: A Comparative Cross-sectional Study of the General Population in Sweden, Planning Practice &amp; Research, 32:4, 444-465, DOI: 10.1080/02697459.2017.1374706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Foster C, Hillsdon M, Thorogood M. Environmental perceptions and walking in English adults. J Epidemiol Community Health. 2004 Nov;58(11):924-8. doi: 10.1136/jech.2003.014068. PMID: 15483308; PMCID: PMC1732623.
Sugiyama T, Francis J, Middleton NJ, Owen N, Giles-Corti B. Associations between recreational walking and attractiveness, size, and proximity of neighborhood open spaces. Am J Public Health. 2010 Sep;100(9):1752-7. doi: 10.2105/AJPH.2009.182006. Epub 2010 Jul 15. PMID: 20634455; PMCID: PMC2920990.</t>
  </si>
  <si>
    <t>Andrusaityte S, Grazuleviciene R, Kudzyte J, Bernotiene A, Dedele A, Nieuwenhuijsen MJ. Associations between neighbourhood greenness and asthma in preschool children in Kaunas, Lithuania: a case-control study. BMJ Open. 2016 Apr 11;6(4):e010341. doi: 10.1136/bmjopen-2015-010341. PMID: 27067890; PMCID: PMC4838715.
Dadvand P, de Nazelle A, Figueras F, Basagaña X, Su J, Amoly E, Jerrett M, Vrijheid M, Sunyer J, Nieuwenhuijsen MJ. Green space, health inequality and pregnancy. Environ Int. 2012 Apr;40:110-115. doi: 10.1016/j.envint.2011.07.004. Epub 2011 Aug 6. PMID: 21824657.
Dadvand P, Villanueva CM, Font-Ribera L, Martinez D, Basagaña X, Belmonte J, Vrijheid M, Gražulevičienė R, Kogevinas M, Nieuwenhuijsen MJ. Risks and benefits of green spaces for children: a cross-sectional study of associations with sedentary behavior, obesity, asthma, and allergy. Environ Health Perspect. 2014 Dec;122(12):1329-35. doi: 10.1289/ehp.1308038. Epub 2014 Aug 26. PMID: 25157960; PMCID: PMC4256701.
Datzmann, T., Markevych, I., Trautmann, F., Heinrich, J., Schmitt, J. and Tesch, F., 2018. Outdoor air pollution, green space, and cancer incidence in Saxony: a semi-individual cohort study. BMC public health, 18(1), p.715.
de Bell, S., White, M., Griffiths, A., Darlow, A., Taylor, T., Wheeler, B. and Lovell, R., 2020. Spending time in the garden is positively associated with health and wellbeing: Results from a national survey in England. Landscape and Urban Planning, p.103836.
Foster C, Hillsdon M, Thorogood M. Environmental perceptions and walking in English adults. J Epidemiol Community Health. 2004 Nov;58(11):924-8. doi: 10.1136/jech.2003.014068. PMID: 15483308; PMCID: PMC1732623.
Garrett, J.K., White, M.P., Huang, J., Ng, S., Hui, Z., Leung, C., Tse, L.A., Fung, F., Elliott, L.R., Depledge, M.H. and Wong, M.C., 2019. Urban blue space and health and wellbeing in Hong Kong: Results from a survey of older adults. Health &amp; Place, 55, pp.100-110.
Markevych, I., Thiering, E., Fuertes, E. et al. A cross-sectional analysis of the effects of residential greenness on blood pressure in 10-year old children: results from the GINIplus and LISAplus studies. BMC Public Health 14, 477 (2014). https://doi.org/10.1186/1471-2458-14-477
Paquet C, Coffee NT, Haren MT, Howard NJ, Adams RJ, Taylor AW, Daniel M. Food environment, walkability, and public open spaces are associated with incident development of cardio-metabolic risk factors in a biomedical cohort. Health Place. 2014 Jul;28:173-6. doi: 10.1016/j.healthplace.2014.05.001. Epub 2014 Jun 2. PMID: 24880234.
Picavet HSJ, Milder I, Kruize H, de Vries S, Hermans T, Wendel-Vos W. Greener living environment healthier people?: Exploring green space, physical activity and health in the Doetinchem Cohort Study. Prev Med. 2016 Aug;89:7-14. doi: 10.1016/j.ypmed.2016.04.021. Epub 2016 May 3. PMID: 27154351.
Richardsen KR, Mdala I, Berntsen S, Ommundsen Y, Martinsen EW, Sletner L, Jenum AK. Objectively recorded physical activity in pregnancy and postpartum in a multi-ethnic cohort: association with access to recreational areas in the neighbourhood. Int J Behav Nutr Phys Act. 2016 Jul 7;13:78. doi: 10.1186/s12966-016-0401-y. PMID: 27386943; PMCID: PMC4936091.
Sugiyama T, Francis J, Middleton NJ, Owen N, Giles-Corti B. Associations between recreational walking and attractiveness, size, and proximity of neighborhood open spaces. Am J Public Health. 2010 Sep;100(9):1752-7. doi: 10.2105/AJPH.2009.182006. Epub 2010 Jul 15. PMID: 20634455; PMCID: PMC2920990.
Sugiyama, T., Thompson, C. W., &amp; Alves, S. (2009). Associations between neighborhood open space attributes and quality of life for older people in Britain. Environment and Behavior, 41(1), 3–21. https://doi.org/10.1177/0013916507311688</t>
  </si>
  <si>
    <t>Balfour JL, Kaplan GA. Neighborhood environment and loss of physical function in older adults: evidence from the Alameda County Study. Am J Epidemiol. 2002 Mar 15;155(6):507-15. doi: 10.1093/aje/155.6.507. PMID: 11882524.
Barceló MA, Varga D, Tobias A, Diaz J, Linares C, Saez M. Long term effects of traffic noise on mortality in the city of Barcelona, 2004-2007. Environ Res. 2016 May;147:193-206. doi: 10.1016/j.envres.2016.02.010. Epub 2016 Feb 16. PMID: 26894815.
Bluhm, G., Nordling, E. and Berglind, N., 2004. Road traffic noise and annoyance-An increasing environmental health problem. Noise and Health, 6(24), p.43.
Ferreira, Marta &amp; Dias Costa, Paulo &amp; Abrantes, Diogo &amp; Hora, Joana &amp; Felicio, Soraia &amp; Coimbra, Miguel &amp; Dias, Teresa. (2022). Identifying the determinants and understanding their effect on the perception of safety, security, and comfort by pedestrians and cyclists: A systematic review. Transportation Research Part F: Traffic Psychology and Behaviour. 91. 136-163. 10.1016/j.trf.2022.10.004. 
Gołebiewski, R., Makarewicz, R., Nowak, M., Preis, A. Traffic noise reduction due to the porous road surface, Applied Acoustics, Volume 64, Issue 5, 2003,
Pages 481-494, https://doi.org/10.1016/S0003-682X(02)00124-X.</t>
  </si>
  <si>
    <t>Active travel mode, mental health</t>
  </si>
  <si>
    <t xml:space="preserve">French, C.E., Waite, T.D., Armstrong, B., Rubin, G.J., Beck, C.R. and Oliver, I., 2019. Impact of repeat flooding on mental health and health-related quality of life: a cross-sectional analysis of the English National Study of Flooding and Health. BMJ open, 9(11), p.e031562.
Graham, H., White, P., Cotton, J. and McManus, S., 2019. Flood-and weather-damaged homes and mental health: An analysis using England’s Mental Health Survey. International journal of environmental research and public health, 16(18), p.3256.
Jermacane, D., Waite, T.D., Beck, C.R., Bone, A., Amlôt, R., Reacher, M., Kovats, S., Armstrong, B., Leonardi, G., James Rubin, G. and Oliver, I., 2018. The English National Cohort Study of Flooding and Health: the change in the prevalence of psychological morbidity at year two. BMC public health, 18(1), pp.1-8.
Mason, V., Andrews, H.,  &amp; Upton, D., (2010) The psychological impact of exposure to floods, Psychology, Health &amp; Medicine, 15:1, 61-73, DOI: 10.1080/13548500903483478
Munro A, Kovats RS, Rubin GJ, Waite TD, Bone A, Armstrong B; English National Study of Flooding and Health Study Group. Effect of evacuation and displacement on the association between flooding and mental health outcomes: a cross-sectional analysis of UK survey data. Lancet Planet Health. 2017 Jul;1(4):e134-e141. doi: 10.1016/S2542-5196(17)30047-5. PMID: 28944321; PMCID: PMC5597543.
</t>
  </si>
  <si>
    <t>Berke, E.M., Gottlieb, L.M., Moudon, A.V. and Larson, E.B. (2007), Protective Association Between Neighborhood Walkability and Depression in Older Men. Journal of the American Geriatrics Society, 55: 526-533. https://doi.org/10.1111/j.1532-5415.2007.01108.x
Sugiyama, T., Thompson, C. W., &amp; Alves, S. (2009). Associations between neighborhood open space attributes and quality of life for older people in Britain. Environment and Behavior, 41(1), 3–21. https://doi.org/10.1177/0013916507311688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t>
  </si>
  <si>
    <t>Berke, E.M., Gottlieb, L.M., Moudon, A.V. and Larson, E.B. (2007), Protective Association Between Neighborhood Walkability and Depression in Older Men. Journal of the American Geriatrics Society, 55: 526-533. https://doi.org/10.1111/j.1532-5415.2007.01108.x
Sugiyama, T., Thompson, C. W., &amp; Alves, S. (2009). Associations between neighborhood open space attributes and quality of life for older people in Britain. Environment and Behavior, 41(1), 3–21. https://doi.org/10.1177/0013916507311688
see Pikora, 2006 for assessment of functional aspects of footpaths: PIKORA, TERRI J.1; GILES-CORTI, BILLIE1; KNUIMAN, MATTHEW W.1; BULL, FIONA C.1; JAMROZIK, KONRAD1,2; DONOVAN, ROB J.1. Neighborhood Environmental Factors Correlated with Walking Near Home: Using SPACES. Medicine &amp; Science in Sports &amp; Exercise 38(4):p 708-714, April 2006. | DOI: 10.1249/01.mss.0000210189.64458.f3
Clarke P, Ailshire JA, Bader M, Morenoff JD, House JS. Mobility disability and the urban built environment. Am J Epidemiol. 2008 Sep 1;168(5):506-13. doi: 10.1093/aje/kwn185. Epub 2008 Jul 30.</t>
  </si>
  <si>
    <t>&lt;1.2m at any point on a pedestrian route.</t>
  </si>
  <si>
    <t>Crossings on key pedestrian routes that create cross-street permeability and route continuity</t>
  </si>
  <si>
    <t xml:space="preserve">No net-loss of green or blue infrastructure. Where existing green and blue infrastructure is removed, it should be replaced on a like-for-like basis, on-site, as an absolute minimum. </t>
  </si>
  <si>
    <t>The quantity of green or blue infrastructure and the number street trees have been increased by up to 30%. The planned green or blue infrastructure have been designed to help local nature recovery.</t>
  </si>
  <si>
    <t>The quantity of green or blue infrastructure on the street, and the number of trees, has been increased by 30% or more. The planned green or blue infrastructure has been designed to help local nature recovery.</t>
  </si>
  <si>
    <t>No attenuation or infiltration SuDS are proposed for the scheme.</t>
  </si>
  <si>
    <t>Permeability and legibility for walking, wheeling and cycling</t>
  </si>
  <si>
    <t xml:space="preserve">Poor legibility. No connections other than those used by motor traffic or low quality, secluded routes. </t>
  </si>
  <si>
    <t>Semi-legible e.g. signed routes. Some connections other than those used by motor traffic which feel safe to use in daylight hours.</t>
  </si>
  <si>
    <t>Surface water ponding</t>
  </si>
  <si>
    <t>Access to public transport stations and interchanges</t>
  </si>
  <si>
    <t>Is there a bus or rail station, tram or BRT stop, or interchange?</t>
  </si>
  <si>
    <t>There is no step-free access to the facility.</t>
  </si>
  <si>
    <t>The main entry point to the facility is not step-free but step-free alternatives are provided.</t>
  </si>
  <si>
    <t>All entry points to the facility are step-free. Possible to access platform(s) with a bike, either by ramp or lift.</t>
  </si>
  <si>
    <t>Cycle access and cycle parking</t>
  </si>
  <si>
    <t xml:space="preserve">Pedestrian crossing within 100 meters. </t>
  </si>
  <si>
    <t>SCORES BY CATEGORY</t>
  </si>
  <si>
    <t>Cycling provision</t>
  </si>
  <si>
    <t>Street environment and design</t>
  </si>
  <si>
    <t>GM Street Type</t>
  </si>
  <si>
    <t>Highway Authority</t>
  </si>
  <si>
    <t>Off-Street</t>
  </si>
  <si>
    <t>Is the scheme on-street or off-street?</t>
  </si>
  <si>
    <t>Description</t>
  </si>
  <si>
    <t>Trams and cycles</t>
  </si>
  <si>
    <t>On-Street</t>
  </si>
  <si>
    <t>Score not applicable for this metric.</t>
  </si>
  <si>
    <t>Ramp section of &gt;1:10 for more than 0.6m and/or &gt;1:12 for more than 2m and/or &gt;1:20 for more than 3m.</t>
  </si>
  <si>
    <t>Local Connector Street</t>
  </si>
  <si>
    <t>Connector Street</t>
  </si>
  <si>
    <t>Multi-lane Connector Street</t>
  </si>
  <si>
    <t>Pedestrianised High Street</t>
  </si>
  <si>
    <t>High Street</t>
  </si>
  <si>
    <t>High Road</t>
  </si>
  <si>
    <t>Destination Places and Gateways</t>
  </si>
  <si>
    <t>1.2m – 1.4</t>
  </si>
  <si>
    <t>1.5m – 1.9m</t>
  </si>
  <si>
    <t>&gt;=2m</t>
  </si>
  <si>
    <t>1.2m – 1.9m</t>
  </si>
  <si>
    <t>2m - 2.4m</t>
  </si>
  <si>
    <t>&gt;=2.5m</t>
  </si>
  <si>
    <t>2m - 2.9m</t>
  </si>
  <si>
    <t>&gt;=3m</t>
  </si>
  <si>
    <t>Neighbourhoods</t>
  </si>
  <si>
    <t>Metric 12 = 0</t>
  </si>
  <si>
    <t>Metric 12 = 1</t>
  </si>
  <si>
    <t>Metric 12 = 2</t>
  </si>
  <si>
    <t>Score Value - No Cat C</t>
  </si>
  <si>
    <t>Score - No Cat C</t>
  </si>
  <si>
    <t>Score Value - No Cat 1</t>
  </si>
  <si>
    <t>Score Value - No Cat 0 or 1</t>
  </si>
  <si>
    <t>SUPERCEDED</t>
  </si>
  <si>
    <t>Greater Manchester Streets for All Design Check</t>
  </si>
  <si>
    <t>Scheme start point (building number or name)</t>
  </si>
  <si>
    <t>Scheme end point (building number or name)</t>
  </si>
  <si>
    <t>Town</t>
  </si>
  <si>
    <t>Scheme name</t>
  </si>
  <si>
    <t>Scheme objectives (summary)</t>
  </si>
  <si>
    <t>Metrics greyed out are not scored</t>
  </si>
  <si>
    <t>Scoring rationale - to be completed by reviewer</t>
  </si>
  <si>
    <t>Guidance notes - for reviewers</t>
  </si>
  <si>
    <t>Greater Manchester Streets For All Design Check results</t>
  </si>
  <si>
    <t>Greater Manchester Streets For All Design Check health results</t>
  </si>
  <si>
    <t>Scores by Streets for All Essential</t>
  </si>
  <si>
    <t>Summary</t>
  </si>
  <si>
    <t>Group 1. Junctions</t>
  </si>
  <si>
    <t>Group 4. Cycling provision</t>
  </si>
  <si>
    <t>Group 5. Street environment and design</t>
  </si>
  <si>
    <t xml:space="preserve">Group 1. Junctions </t>
  </si>
  <si>
    <t xml:space="preserve">Group 2. Pedestrian crossings (junction and mid-link) </t>
  </si>
  <si>
    <t xml:space="preserve">Group 3. Footway (incl. shared use) </t>
  </si>
  <si>
    <t xml:space="preserve">Group 4. Cycling provision </t>
  </si>
  <si>
    <t xml:space="preserve">Group 5. Street environment and design </t>
  </si>
  <si>
    <t xml:space="preserve">Group 6. Public transport </t>
  </si>
  <si>
    <t xml:space="preserve">Group 7. Off-Street </t>
  </si>
  <si>
    <t>Group 7. Off-Street</t>
  </si>
  <si>
    <t>Scores by group</t>
  </si>
  <si>
    <t>People</t>
  </si>
  <si>
    <t>Health</t>
  </si>
  <si>
    <t>Surface defects</t>
  </si>
  <si>
    <t>Total volume of traffic (PCU's)</t>
  </si>
  <si>
    <t>Traffic volume on two-way single-carriageway streets</t>
  </si>
  <si>
    <t>Volume in PCUs (Passenger Car Units). Metric applies to two-way single-carriageway streets only as it is concerned with interaction between opposing flows. For one-way streets and dual carriageways, set score to not applicable.</t>
  </si>
  <si>
    <t>Conflicting movements at major junctions not separated in time and space.</t>
  </si>
  <si>
    <t>Conflicting movements are separated in time or space at major junctions with dedicated stages/phases.</t>
  </si>
  <si>
    <t>All conflicting streams separated in time and space at signalised junctions.</t>
  </si>
  <si>
    <t>Heavy streams of turning traffic (&gt;100 PCUs in highest turning volume hour) across main cycling stream without separation in time or space.</t>
  </si>
  <si>
    <t>Use the hour with the highest turning volume.</t>
  </si>
  <si>
    <t>After applying the JAT to all signalised junctions 80% of all movements are assessed as green at the poorest performing junction.</t>
  </si>
  <si>
    <t>After applying the JAT to all signalised junctions there are no red scoring movements, however &lt;50% of all movements are assessed as green at the poorest performing junction.</t>
  </si>
  <si>
    <t>Health information powered by</t>
  </si>
  <si>
    <t>Standard of in-line crossing provision at side roads</t>
  </si>
  <si>
    <t>No detection and optimisation technology applied to traffic signals.</t>
  </si>
  <si>
    <t>Some detection and optimisation technology has been applied to traffic signals.</t>
  </si>
  <si>
    <t>Pedestrians and cyclists have one opportunity to cross per signal cycle.</t>
  </si>
  <si>
    <t>Maximum waiting time &gt;60secs.</t>
  </si>
  <si>
    <t>Not met.</t>
  </si>
  <si>
    <t>Some met.</t>
  </si>
  <si>
    <t>All met.</t>
  </si>
  <si>
    <t>Type of crossing facility</t>
  </si>
  <si>
    <t>Controlled crossings on major corridors. All signal junctions to have green man stage(s). Crossings on any arm are two stage. Mid link crossings are single stage.</t>
  </si>
  <si>
    <t>0.8m/s and/or pedestrian detection to lengthen pedestrian phase.</t>
  </si>
  <si>
    <t>Maximum waiting time 60-20secs.</t>
  </si>
  <si>
    <t>Wait time at mid-link signalised crossings</t>
  </si>
  <si>
    <t>Maximum waiting time &lt;20secs or, instant call, or rest on red.</t>
  </si>
  <si>
    <t>&lt;50m without cluttering the street environment.</t>
  </si>
  <si>
    <t>Consistent signing of range of routes and destinations at decision points.</t>
  </si>
  <si>
    <t>3.0m effective width at ped or cycle flows &lt;300 per hour, or 4.0m effective width with ped or cycle flows &gt;300 per hour.</t>
  </si>
  <si>
    <t>85th percentile 20-25mph.</t>
  </si>
  <si>
    <t>Less frequent kerbside activity / effective width for cyclists of 2m.</t>
  </si>
  <si>
    <t>Frequent kerbside activity / effective width for cyclists of 1.5m.</t>
  </si>
  <si>
    <t>Cyclists have dedicated connections to other routes.</t>
  </si>
  <si>
    <t>Cyclists share connections with motor traffic.</t>
  </si>
  <si>
    <t>Attenuation SuDS are proposed for the scheme. Or, no net-loss of permeable surfaces e.g. conversion of verge to cycle track using permeable materials.</t>
  </si>
  <si>
    <t>Cycle track with horizonal and physical separation from other modes.</t>
  </si>
  <si>
    <t>Crossing angle between 60 and 80 degrees.</t>
  </si>
  <si>
    <t>Crossing angle is 90 degrees or need to cross track removed.</t>
  </si>
  <si>
    <t>Bollards or barriers present with minimum 1.5m lateral clearance, or two chicane barriers placed a minimum 3.5m apart with minimum lateral clearance 1.5m.</t>
  </si>
  <si>
    <t>Hand-laid asphalt or unstable blocks/sets.</t>
  </si>
  <si>
    <t>Smooth, sealed solid surfaces, such as machine laid asphalt or macadam.</t>
  </si>
  <si>
    <t>No steps but gradient greater than 1 in 20 (but otherwise in accordance with section 5.2 of Inclusive Mobility).</t>
  </si>
  <si>
    <t>No steps and gradient less than 1 in 20.</t>
  </si>
  <si>
    <t>No lighting (minimum requirement solar road stud lights).</t>
  </si>
  <si>
    <t>Unsealed surfaces (such as gravel or bare earth).</t>
  </si>
  <si>
    <t>Bollards or barriers present with &lt;1.5m lateral clearance, or two chicane barriers placed &lt;3.5m apart or with minimum lateral clearance &lt;1.5m.</t>
  </si>
  <si>
    <t>&lt;3.0m effective width OR &lt;4m effective width with ped or cycle flows &gt;300 per hour.</t>
  </si>
  <si>
    <t>Steps present and no accessible alternative provided (e.g. a ramp as defined in section 5.2 of Inclusive Mobility) OR ramp not in accordance with section 5.2 of Inclusive Mobility.</t>
  </si>
  <si>
    <r>
      <rPr>
        <sz val="10"/>
        <rFont val="Calibri"/>
        <family val="2"/>
        <scheme val="minor"/>
      </rPr>
      <t>See also</t>
    </r>
    <r>
      <rPr>
        <u/>
        <sz val="10"/>
        <color theme="10"/>
        <rFont val="Calibri"/>
        <family val="2"/>
        <scheme val="minor"/>
      </rPr>
      <t xml:space="preserve">
LTN 1/20 appendix B Junction Assessment Tool</t>
    </r>
  </si>
  <si>
    <r>
      <rPr>
        <sz val="10"/>
        <rFont val="Calibri"/>
        <family val="2"/>
        <scheme val="minor"/>
      </rPr>
      <t>See also</t>
    </r>
    <r>
      <rPr>
        <u/>
        <sz val="10"/>
        <color theme="10"/>
        <rFont val="Calibri"/>
        <family val="2"/>
        <scheme val="minor"/>
      </rPr>
      <t xml:space="preserve">
LTN 1/20 Guidance on shared use
</t>
    </r>
    <r>
      <rPr>
        <sz val="10"/>
        <rFont val="Calibri"/>
        <family val="2"/>
        <scheme val="minor"/>
      </rPr>
      <t>Shared use should not be used in situations with current, or predicted, high pedestrian or cyclist flows.</t>
    </r>
  </si>
  <si>
    <t>Pedestrians and cyclists have more than one opportunity to cross per cycle.</t>
  </si>
  <si>
    <t>Composition of traffic</t>
  </si>
  <si>
    <t>&gt;5%</t>
  </si>
  <si>
    <t>2-5%</t>
  </si>
  <si>
    <t>&lt;2%</t>
  </si>
  <si>
    <t>Percentage of large vehicles in peak hour</t>
  </si>
  <si>
    <t>No kerbside activity / no interaction between cyclists and vehicles parking or loading.</t>
  </si>
  <si>
    <t>Likelihood of close passes</t>
  </si>
  <si>
    <t>Where it is not possible to provide dedicated cycle facilities on the most direct route, the amount of additional time or distance where a dedicated alternative route is provided should be minimised.</t>
  </si>
  <si>
    <t>Cyclists can always pass other users.</t>
  </si>
  <si>
    <t>Cyclists can usually pass other users.</t>
  </si>
  <si>
    <t>Cyclists cannot pass other users.</t>
  </si>
  <si>
    <t>Cyclists cannot connect to other routes without dismounting.</t>
  </si>
  <si>
    <t>Bus stops - information</t>
  </si>
  <si>
    <t>Bus stops - personal safety</t>
  </si>
  <si>
    <t>Bus priority measures - bus lanes, bus gates etc.</t>
  </si>
  <si>
    <t>Bus stops - waiting, seating, shelters</t>
  </si>
  <si>
    <t xml:space="preserve">Greater Manchester Streets for All Design Check </t>
  </si>
  <si>
    <t xml:space="preserve">Group 2. Pedestrian Crossings (junction and mid-link) </t>
  </si>
  <si>
    <t xml:space="preserve">Group 6. Public Transport </t>
  </si>
  <si>
    <t>Number of critical items</t>
  </si>
  <si>
    <t>Cycles do not interact with large vehicles.</t>
  </si>
  <si>
    <t>Streets for All essentials</t>
  </si>
  <si>
    <t>The Streets for All approach to design</t>
  </si>
  <si>
    <t>When do I use the check?</t>
  </si>
  <si>
    <t>How do I complete the check?</t>
  </si>
  <si>
    <t>What do the scores mean?</t>
  </si>
  <si>
    <t xml:space="preserve">The check should be used in assessing proposed changes to our streets. Its use is a requirement for schemes funding by GMCA. It can also be used to assess the performance of existing streets, without there necessarily being any proposals or plans for change. When applied to schemes, the design check should be revisited as the design is developed, whenever there are design changes which may affect the scoring. A completed check is required at each stage of the GM Streets for All Design Review Panel. </t>
  </si>
  <si>
    <r>
      <t xml:space="preserve">The Streets for All approach is an inclusive approach to street design, designing in a people-centred and context-sensitive way to make best use of the street space available. It asks designers to consider:
</t>
    </r>
    <r>
      <rPr>
        <b/>
        <sz val="11"/>
        <color theme="1"/>
        <rFont val="Calibri"/>
        <family val="2"/>
        <scheme val="minor"/>
      </rPr>
      <t>All users</t>
    </r>
    <r>
      <rPr>
        <sz val="11"/>
        <color theme="1"/>
        <rFont val="Calibri"/>
        <family val="2"/>
        <scheme val="minor"/>
      </rPr>
      <t xml:space="preserve">
• people walking, wheeling, cycling, waiting for the bus, bus drivers, taxi drivers, residents of and visitors to Greater Manchester etc.
• children, older people, people with mobility impairments, neurodivergent people, people with dementia etc.
</t>
    </r>
    <r>
      <rPr>
        <b/>
        <sz val="11"/>
        <color theme="1"/>
        <rFont val="Calibri"/>
        <family val="2"/>
        <scheme val="minor"/>
      </rPr>
      <t>All uses</t>
    </r>
    <r>
      <rPr>
        <sz val="11"/>
        <color theme="1"/>
        <rFont val="Calibri"/>
        <family val="2"/>
        <scheme val="minor"/>
      </rPr>
      <t xml:space="preserve">
• movement in a way that is appropriate to context and function e.g. getting from A to B, making deliveries etc.
• places in their own right e.g. green spaces, space to stop and rest, space to play, places to browse and shop, places to socialise etc.</t>
    </r>
  </si>
  <si>
    <t>Our Streets for All vision</t>
  </si>
  <si>
    <r>
      <rPr>
        <b/>
        <sz val="11"/>
        <rFont val="Calibri"/>
        <family val="2"/>
        <scheme val="minor"/>
      </rPr>
      <t>Disclaimer</t>
    </r>
    <r>
      <rPr>
        <sz val="11"/>
        <rFont val="Calibri"/>
        <family val="2"/>
        <scheme val="minor"/>
      </rPr>
      <t xml:space="preserve">
The Streets for All Design Check does not replace existing Local Authority design assurance, audit or related processes. It is for the Local Highway Authority and designer of a scheme to ensure compliance with regulatory requirements, including under the Construction Design Management Regulations and the Equality Act 2010.
</t>
    </r>
    <r>
      <rPr>
        <b/>
        <sz val="11"/>
        <rFont val="Calibri"/>
        <family val="2"/>
        <scheme val="minor"/>
      </rPr>
      <t xml:space="preserve">
Feedback and enquiries</t>
    </r>
    <r>
      <rPr>
        <sz val="11"/>
        <rFont val="Calibri"/>
        <family val="2"/>
        <scheme val="minor"/>
      </rPr>
      <t xml:space="preserve">
Users of this design check are encouraged to raise any queries and / or provide feedback on the content and usage of this document by emailing</t>
    </r>
    <r>
      <rPr>
        <u/>
        <sz val="11"/>
        <color theme="10"/>
        <rFont val="Calibri"/>
        <family val="2"/>
        <scheme val="minor"/>
      </rPr>
      <t xml:space="preserve"> gmstreetdesignguide@tfgm.com</t>
    </r>
  </si>
  <si>
    <t>The results are a way of visually showing how the ‘Existing layout’ and ‘Proposed layout’ of a scheme align with and contribute to delivering the Streets for All essentials. Scheme designs will inevitably involve compromise and balancing the requirements for different modes of transport with people’s needs is the key to delivering on our Streets for All priorities and promises.
It is not possible for schemes to score full marks and the results should not be used as comparison between schemes as maximum scores may differ depending on whether a metric is applicable or not. Critical items remaining within the proposed layout are highlighted. 
This visual representation of the benefits of a scheme can be used as a communication tool as part of engagement on the scheme.</t>
  </si>
  <si>
    <t>The health results show how a proposed scheme could affect the health of people using the street, based on the scores entered. Health results show groups of people who might benefit most from good street design e.g. children, people with mobility impairments, and how this can benefit people’s health in different ways e.g. improvements to mental health and reduction of risks from pollution and noise.  
The benefits of good street design are not limited to these groups of people or health outcomes, but these categories have been shown in medical studies to be particularly affected by street design considerations covered in the metrics. People may belong to more than one group, for example, public transport users can include people of all ages and needs.</t>
  </si>
  <si>
    <r>
      <t xml:space="preserve">If assessing existing: </t>
    </r>
    <r>
      <rPr>
        <sz val="10"/>
        <color theme="1"/>
        <rFont val="Calibri"/>
        <family val="2"/>
        <scheme val="minor"/>
      </rPr>
      <t xml:space="preserve">The NO2 concentration is less than 32µg/m3. </t>
    </r>
    <r>
      <rPr>
        <b/>
        <sz val="10"/>
        <color theme="1"/>
        <rFont val="Calibri"/>
        <family val="2"/>
        <scheme val="minor"/>
      </rPr>
      <t xml:space="preserve">
If assessing proposal: 
</t>
    </r>
    <r>
      <rPr>
        <sz val="10"/>
        <color theme="1"/>
        <rFont val="Calibri"/>
        <family val="2"/>
        <scheme val="minor"/>
      </rPr>
      <t>The existing NO2 concentration is less than 32µg/m3 or  the existing concentration is 32 to 40µg/m3 with local traffic  volume reduction measures proposed.</t>
    </r>
  </si>
  <si>
    <t xml:space="preserve">Uncontrolled crossing of 2 or fewer lanes. Not every arm has a controlled (green man) pedestrian crossing facility at signalised junctions. Controlled crossings on any arm are more than two stage, or mid-link crossings are two stage. </t>
  </si>
  <si>
    <t>Remove if n/a</t>
  </si>
  <si>
    <t>&lt;1.2m width clear pedestrian route passing through stop zone.
 &lt;1.2m width circulation around stop area e.g. between shelter, boarding zone and footway.
No bus stop clearway.
 &lt;2m clear boarding area length adjacent stop flag or, where present, along raised kerb.
 &lt;1.5m clear boarding area depth where footway width is &gt;=1.5m.
Kerb height at boarding point &lt;125mm.
Discretionary street furniture - e.g. bins, located at &lt;2m outside stop zone.</t>
  </si>
  <si>
    <t>&gt;1.2m width clear pedestrian route passing through stop zone.
 &gt;1.2m width circulation around stop area e.g. between shelter, boarding zone and footway.
Bus stop clearway - effective length &lt;23m.
 =&gt;2m clear boarding area length adjacent stop flag or, where present, along raised kerb.
1.5m - 2m clear depth at boarding point.
Kerb height at boarding point 125mm – 135mm</t>
  </si>
  <si>
    <t>&gt;1.2m width clear pedestrian route passing through stop zone.
&gt;1.2m width circulation around stop area e.g. between shelter, boarding zone and footway.
Bus stop clearway effective length 23-33m.
 =&gt;2m clear boarding area length adjacent stop flag or, where present, along raised kerb.
=&gt;2m clear depth at boarding point.
Kerb height at boarding point 135 – 160mm</t>
  </si>
  <si>
    <t xml:space="preserve"> &gt;2m width clear pedestrian route passing through stop zone.
&gt;1.2m width circulation around stop area e.g. between shelter, boarding zone and footway.
Bus stop clearway &gt;=33.
 =&gt;2m clear boarding area length adjacent stop flag or, where present, along raised kerb.
=&gt;2m clear depth at boarding point.
Kerb height at boarding point 135 – 160mm
</t>
  </si>
  <si>
    <t xml:space="preserve">SA01 = 2,500VPD. GM SA4 more stringent in taking the peak hour and size of vehicles. </t>
  </si>
  <si>
    <t>ATE TOOL CROSS-CHECK</t>
  </si>
  <si>
    <t>Cycle safety at junctions</t>
  </si>
  <si>
    <t>SA02 = no application of JAT. GM S4A application of JAT and Metric 1 covers all junctions.</t>
  </si>
  <si>
    <t>Nearside lane width and configuration</t>
  </si>
  <si>
    <t>Secondary position: &lt;1.5m clear space 
Primary position: high motor vehicle flow (&gt;4,000 PCU's a day)</t>
  </si>
  <si>
    <t>Secondary: 1.8-2.0m (or 1.5-2m if physically protected)
Primary: &gt;1,000-2,000 PCU's a day</t>
  </si>
  <si>
    <t xml:space="preserve">&lt;3.25 or &gt;3.9m but there are speed cushions.
</t>
  </si>
  <si>
    <t>Space for cycling within the carriageway</t>
  </si>
  <si>
    <t>Secondary: &gt;2m 
Primary: &lt;1,000 PCU's a day</t>
  </si>
  <si>
    <t>Secondary: 1.5-1.8m (1.5m if physically protected) 
Primary: &gt;2,000-4,000 PCU's a day</t>
  </si>
  <si>
    <t>&lt;1,000 a day
&lt;100  in peak hour
Or protected cycle facility</t>
  </si>
  <si>
    <t>&lt;3.25 or &gt;3.9m but there are no speed cushions.</t>
  </si>
  <si>
    <r>
      <rPr>
        <sz val="10"/>
        <rFont val="Calibri"/>
        <family val="2"/>
        <scheme val="minor"/>
      </rPr>
      <t>Universally accessible boarding zone = 2m x 2m 
See also</t>
    </r>
    <r>
      <rPr>
        <u/>
        <sz val="10"/>
        <color theme="10"/>
        <rFont val="Calibri"/>
        <family val="2"/>
        <scheme val="minor"/>
      </rPr>
      <t xml:space="preserve">
Chapter 3 GM Streets for All Design Guide
</t>
    </r>
  </si>
  <si>
    <r>
      <rPr>
        <sz val="10"/>
        <rFont val="Calibri"/>
        <family val="2"/>
        <scheme val="minor"/>
      </rPr>
      <t>See also</t>
    </r>
    <r>
      <rPr>
        <u/>
        <sz val="10"/>
        <color theme="10"/>
        <rFont val="Calibri"/>
        <family val="2"/>
        <scheme val="minor"/>
      </rPr>
      <t xml:space="preserve">
Chapter 3 GM Streets for All Design Guide</t>
    </r>
  </si>
  <si>
    <t>3.25 to 3.9m (to lane marking for multi-lane roads, or centre line for single-lane two-way roads).</t>
  </si>
  <si>
    <t>Design features could include protected cycle facility, design speed 15mph, planting, formalised parking, no centre line, &lt;1,000 PCU a day.</t>
  </si>
  <si>
    <t xml:space="preserve">SA04 - 13mm critical. GM S4A 20mm, as per legal regs. </t>
  </si>
  <si>
    <t>Provision of formal crossing points</t>
  </si>
  <si>
    <t>SA06 = OK</t>
  </si>
  <si>
    <t>SA05 - OK</t>
  </si>
  <si>
    <t>SA03 - OK</t>
  </si>
  <si>
    <t>All signalised junctions have green man stage(s). Zebra or signalised crossings mid-link; signalised crossing with pedestrian countdown at signalised  junctions. Mid link and signalised junction crossings are single stage.</t>
  </si>
  <si>
    <t>Type of crossing facility appropriate for street context</t>
  </si>
  <si>
    <t>SA07 - OK</t>
  </si>
  <si>
    <t>85th percentile &gt;30mph.</t>
  </si>
  <si>
    <t>85th percentile &gt;25mph.</t>
  </si>
  <si>
    <t>85th percentile &lt;20mph or protected cycle facility.</t>
  </si>
  <si>
    <t>SA08 - OK</t>
  </si>
  <si>
    <t>&gt;2,000 - 4,000 a day
&gt;200 - 400 in peak hour
And cyclists are not protected</t>
  </si>
  <si>
    <t>1,000 - 2,000 a day
100 - 200 in peak hour
And cyclists are not protected</t>
  </si>
  <si>
    <t>SA09 - OK</t>
  </si>
  <si>
    <t>SA10 - OK</t>
  </si>
  <si>
    <t>SA11 - GM S4A is more stringent (1.2m) and also context-sensitive per street type.</t>
  </si>
  <si>
    <t>SA12 - OK</t>
  </si>
  <si>
    <t>SA12 - OK, but GM S4A no reference to track fillers.</t>
  </si>
  <si>
    <t>SA14 and SA15 - OK</t>
  </si>
  <si>
    <t>Carriageway or cycle track defects</t>
  </si>
  <si>
    <t>Defects include non cycle friendly ironworks, raised/ sunken covers/gullies. General maintenance includes overgrown vegetation, loose/ heavily cracked surfaces.</t>
  </si>
  <si>
    <t>Many minor defects or maintenance issues.</t>
  </si>
  <si>
    <t>Few minor defects or maintenance issues.</t>
  </si>
  <si>
    <t xml:space="preserve">No defects or maintenance issues. </t>
  </si>
  <si>
    <t>Cycle track construction</t>
  </si>
  <si>
    <t>Surface type</t>
  </si>
  <si>
    <t>Surface condition and general maintenance</t>
  </si>
  <si>
    <t>Hand-laid asphalt, unstable blockwork/sets or poorly laid uneven surface.</t>
  </si>
  <si>
    <t>Machine laid asphalt concrete or HRA; even blockwork/paving.</t>
  </si>
  <si>
    <t>Machine laid asphalt concrete; even blockwork/paving with suitable slip resistance, evenly laid permeable surface.</t>
  </si>
  <si>
    <t>Major defects or maintenance issues. Inadequate slip resistance.</t>
  </si>
  <si>
    <t>Clutter and street engagement</t>
  </si>
  <si>
    <t>ST17 - GM S4A only deals with ramps, as per inclusive mobility.</t>
  </si>
  <si>
    <t>ST18 - OK</t>
  </si>
  <si>
    <t>No tonal contrast between tactiles and adjacent surface material, either on footway and carriageway. (e.g. buff tactile adjacent to buff paving; red tactile and red overlay surface on crossing).  
Clearly misleading / confusing paving  patterns.</t>
  </si>
  <si>
    <t>No access control restrictions.</t>
  </si>
  <si>
    <t>ST19 - OK</t>
  </si>
  <si>
    <t>ST21 - OK</t>
  </si>
  <si>
    <t>ST24 and ST25 - OK, but GM S4A does not use 'smooth' as this doesn't have grip. PTV for internal floorcoverings?</t>
  </si>
  <si>
    <t>ST26 - OK, see table 3.5 in GM S4A Guide</t>
  </si>
  <si>
    <t>ST27 - OK</t>
  </si>
  <si>
    <t>ST28 - OK</t>
  </si>
  <si>
    <t>ST30 - OK</t>
  </si>
  <si>
    <t>Pedestrians and cyclists are prioritised over general traffic upon demand (hurry call).</t>
  </si>
  <si>
    <t>ST31 - ATE less than 10 secs. This</t>
  </si>
  <si>
    <t>ST29 and 31 - GMS4A is more robust.</t>
  </si>
  <si>
    <t>ST33 - OK</t>
  </si>
  <si>
    <t>ST34 - OK</t>
  </si>
  <si>
    <t>Continuous full ambient street lighting. Bat friendly lighting e.g. 3000k or less.</t>
  </si>
  <si>
    <t>ST37 - OK</t>
  </si>
  <si>
    <t xml:space="preserve">No coverage ST20, ST21, ST23, ST35, ST38 GM S4A does not go into detail around shared use at crossings - to be covered in cycling design guide. </t>
  </si>
  <si>
    <t>SAT39</t>
  </si>
  <si>
    <t>ST39 - GM S4A is more robust.</t>
  </si>
  <si>
    <t>ST40 - OK</t>
  </si>
  <si>
    <t>Where there is a transition between the carriageway and cycle track, it must be flush and preferably material continuity maintained e.g. asphalt to asphalt no kerb.</t>
  </si>
  <si>
    <t>Tonal contrast between materials but clear pedestrian route is not obvious. 
Complex, disorientating or potentially misleading paving patterns.</t>
  </si>
  <si>
    <t>Clear pedestrian route which is detectable and obvious.
Paving patterns serve to improve legibility of the street and pedestrian routes.</t>
  </si>
  <si>
    <t xml:space="preserve">SA16 - OK, SP01/02/03 - OK, </t>
  </si>
  <si>
    <t>Perception of personal safety</t>
  </si>
  <si>
    <t>Street design and frontages</t>
  </si>
  <si>
    <t>Lots of active frontage. There is regular human activity e.g. retail, busy bus stop, cycle route. Good sense of personal safety  both day and night.</t>
  </si>
  <si>
    <t>Loading and servicing provision</t>
  </si>
  <si>
    <t>Consideration of loading and servicing provision</t>
  </si>
  <si>
    <t>No designated provision where there is a clear requirement.</t>
  </si>
  <si>
    <t>Inadequate or inappropriate provision. Not enforced.</t>
  </si>
  <si>
    <t>Well-considered provision appropriate to context. Regular enforcement.</t>
  </si>
  <si>
    <t>Score N/A if no loading or parking provision.</t>
  </si>
  <si>
    <t>SP17 -OK</t>
  </si>
  <si>
    <t>SP17, SP18 -OK</t>
  </si>
  <si>
    <t xml:space="preserve">SuDs features examples include rain gardens, SuDS enabled street trees, swales etc. </t>
  </si>
  <si>
    <t>SP22 - OK, but not as detailed as SP23</t>
  </si>
  <si>
    <t>SP21 - OK. Covered also in SP24.</t>
  </si>
  <si>
    <t>ST36 - GMS4A more robust, includes critical item. SP06. SP25.</t>
  </si>
  <si>
    <t>After applying the LTN1/20 Junction Assessment Tool (JAT) to all signalised junctions, one or more movements are found to have a red score.</t>
  </si>
  <si>
    <t xml:space="preserve">If there is a protected cycle facility, score 2.
If most frequently visiting large vehicle is typically a weekly refuse collection vehicle score 2. </t>
  </si>
  <si>
    <r>
      <rPr>
        <sz val="10"/>
        <rFont val="Calibri"/>
        <family val="2"/>
        <scheme val="minor"/>
      </rPr>
      <t xml:space="preserve">This relates directly to the width of the cycle facility.
See also
</t>
    </r>
    <r>
      <rPr>
        <u/>
        <sz val="10"/>
        <color theme="10"/>
        <rFont val="Calibri"/>
        <family val="2"/>
        <scheme val="minor"/>
      </rPr>
      <t>Chapter 3 GM Streets for All Design Guide</t>
    </r>
  </si>
  <si>
    <t>Application of LTN 1/20 Junction Assessment Tool</t>
  </si>
  <si>
    <t>Pedestrian and cycle continuity, priority, accessibility and legibility across side roads</t>
  </si>
  <si>
    <t>Some kerb radii meet requirements.
There are flush dropped kerbs and correctly installed tactile paving. 
Ramp down to crossing point between 1:20 and 1:12
Clear continuity across side roads for cycles and priority clear for all users.</t>
  </si>
  <si>
    <t>Side road radii &gt;10m. 
There are no dropped kerbs/raised tables, or there are dropped kerbs/raised tables with no, or incorrectly installed, tactile paving. 
Where dropped kerb present, ramp down to crossing point &gt;1:12</t>
  </si>
  <si>
    <t>All kerb radii meet requirements. 
Side roads closed, or raised table crossings/continuous footways on all side roads with correctly installed tactile paving.
Ramp down to crossing point &lt;1:20
Clear continuity across side roads for cycles and priority clear for all users.</t>
  </si>
  <si>
    <t>Few kerb radii meet requirements. 
There are dropped kerbs at side roads but they are not flush, or they have no tactile paving. 
Ramp down to crossing point between 1:20 and 1:12
No continuity for cycles across side roads or unclear priority for all users.</t>
  </si>
  <si>
    <t>Level of service for cyclists and pedestrians at signalised junctions</t>
  </si>
  <si>
    <t>Number of opportunities to cross in each signal cycle</t>
  </si>
  <si>
    <t>After applying the JAT to all signalised junctions 50-79% of all movements are assessed as green at the poorest performing junction.</t>
  </si>
  <si>
    <t>Does not apply to mid-link crossings.
Score applies to poorest performing crossing point at the junction.</t>
  </si>
  <si>
    <t>Technology to optimise efficiency of movement at traffic signals</t>
  </si>
  <si>
    <t>All appropriate detection and optimisation technology has been applied to traffic signals and technology is used to facilitate longer green times/reduced waiting times for pedestrians and/or buses.</t>
  </si>
  <si>
    <r>
      <rPr>
        <sz val="11"/>
        <rFont val="Calibri"/>
        <family val="2"/>
        <scheme val="minor"/>
      </rPr>
      <t>The Greater Manchester Streets for All Design Check is a tool to assess how existing streets, and proposed changes to streets, perform against the design principles and requirements set out in</t>
    </r>
    <r>
      <rPr>
        <u/>
        <sz val="11"/>
        <color theme="10"/>
        <rFont val="Calibri"/>
        <family val="2"/>
        <scheme val="minor"/>
      </rPr>
      <t xml:space="preserve"> </t>
    </r>
    <r>
      <rPr>
        <u/>
        <sz val="11"/>
        <color theme="4" tint="-0.249977111117893"/>
        <rFont val="Calibri"/>
        <family val="2"/>
        <scheme val="minor"/>
      </rPr>
      <t>Greater Manchester’s Streets for All Design Guide</t>
    </r>
    <r>
      <rPr>
        <sz val="11"/>
        <rFont val="Calibri"/>
        <family val="2"/>
        <scheme val="minor"/>
      </rPr>
      <t xml:space="preserve">. It brings together a range of items to consider when analysing, designing, operating and maintaining our streets, highlighting what matters most for street design in Greater Manchester. The check sits alongside requirements for road safety audits and it is not a replacement for, or alternative to, them. </t>
    </r>
  </si>
  <si>
    <r>
      <rPr>
        <sz val="11"/>
        <rFont val="Calibri"/>
        <family val="2"/>
        <scheme val="minor"/>
      </rPr>
      <t>There are four scores available in the check – Critical, 0, 1, 2. The scores relate to existing standards, guidance and best practice collated from a range of sources and disciplines that play a role in street design. For a full list of sources, refer to the</t>
    </r>
    <r>
      <rPr>
        <u/>
        <sz val="11"/>
        <color theme="10"/>
        <rFont val="Calibri"/>
        <family val="2"/>
        <scheme val="minor"/>
      </rPr>
      <t xml:space="preserve"> </t>
    </r>
    <r>
      <rPr>
        <u/>
        <sz val="11"/>
        <color theme="4" tint="-0.249977111117893"/>
        <rFont val="Calibri"/>
        <family val="2"/>
        <scheme val="minor"/>
      </rPr>
      <t>Greater Manchester Streets for All Design Guide</t>
    </r>
    <r>
      <rPr>
        <u/>
        <sz val="11"/>
        <color theme="10"/>
        <rFont val="Calibri"/>
        <family val="2"/>
        <scheme val="minor"/>
      </rPr>
      <t xml:space="preserve">. </t>
    </r>
    <r>
      <rPr>
        <sz val="11"/>
        <rFont val="Calibri"/>
        <family val="2"/>
        <scheme val="minor"/>
      </rPr>
      <t xml:space="preserve">Not all scores are available for all metrics. Only the scores which can be given to a particular metric are available in the scoring drop down menu. 
</t>
    </r>
    <r>
      <rPr>
        <b/>
        <sz val="11"/>
        <rFont val="Calibri"/>
        <family val="2"/>
        <scheme val="minor"/>
      </rPr>
      <t>Critical item</t>
    </r>
    <r>
      <rPr>
        <sz val="11"/>
        <rFont val="Calibri"/>
        <family val="2"/>
        <scheme val="minor"/>
      </rPr>
      <t xml:space="preserve"> – Does not support delivering the vision for our streets, or deliver for all users and uses of our streets. This generally relates to universal accessibility and/or safety. Where a critical item is identified in the existing situation, proposals for change should remove the issue. Proposals for change must not introduce any new critical items. 
</t>
    </r>
    <r>
      <rPr>
        <b/>
        <sz val="11"/>
        <rFont val="Calibri"/>
        <family val="2"/>
        <scheme val="minor"/>
      </rPr>
      <t>0</t>
    </r>
    <r>
      <rPr>
        <sz val="11"/>
        <rFont val="Calibri"/>
        <family val="2"/>
        <scheme val="minor"/>
      </rPr>
      <t xml:space="preserve"> – basic – a generally acceptable level of provision, but does not represent best practice in relation to all users or uses, or support and deliver the vision for our streets and the Streets for All essentials.
</t>
    </r>
    <r>
      <rPr>
        <b/>
        <sz val="11"/>
        <rFont val="Calibri"/>
        <family val="2"/>
        <scheme val="minor"/>
      </rPr>
      <t>1</t>
    </r>
    <r>
      <rPr>
        <sz val="11"/>
        <rFont val="Calibri"/>
        <family val="2"/>
        <scheme val="minor"/>
      </rPr>
      <t xml:space="preserve"> – good – represents good practice or level of provision in relation to all users or uses. Somewhat contributes to achieving the vision for our streets and generally aligns with and delivers on the Streets for All essentials.
</t>
    </r>
    <r>
      <rPr>
        <b/>
        <sz val="11"/>
        <rFont val="Calibri"/>
        <family val="2"/>
        <scheme val="minor"/>
      </rPr>
      <t>2</t>
    </r>
    <r>
      <rPr>
        <sz val="11"/>
        <rFont val="Calibri"/>
        <family val="2"/>
        <scheme val="minor"/>
      </rPr>
      <t xml:space="preserve"> – very good – represents and embodies best practice, contributes to achieving the vision for our streets and delivers on the Streets for All essentials, being mindful of all current, and potential, users and uses.</t>
    </r>
    <r>
      <rPr>
        <u/>
        <sz val="11"/>
        <color theme="10"/>
        <rFont val="Calibri"/>
        <family val="2"/>
        <scheme val="minor"/>
      </rPr>
      <t xml:space="preserve">
</t>
    </r>
    <r>
      <rPr>
        <b/>
        <sz val="11"/>
        <rFont val="Calibri"/>
        <family val="2"/>
        <scheme val="minor"/>
      </rPr>
      <t xml:space="preserve">N/A </t>
    </r>
    <r>
      <rPr>
        <sz val="11"/>
        <rFont val="Calibri"/>
        <family val="2"/>
        <scheme val="minor"/>
      </rPr>
      <t>–  metric is considered not applicable e.g. no signalised junctions in section of scheme being checked.</t>
    </r>
  </si>
  <si>
    <r>
      <rPr>
        <sz val="11"/>
        <rFont val="Calibri"/>
        <family val="2"/>
        <scheme val="minor"/>
      </rPr>
      <t xml:space="preserve">To undertake the check, designers should use their local knowledge of context to choose sections of the street or route with similar look, feel and function. This may require completing more than one check per scheme. Each junction should be assessed using the LTN 1/20 Junction Assessment Tool (JAT). You will need to know technical information about the existing street, such as footway widths or traffic volumes, to be able to get the most of the tool. You should identify what </t>
    </r>
    <r>
      <rPr>
        <u/>
        <sz val="11"/>
        <color theme="4" tint="-0.249977111117893"/>
        <rFont val="Calibri"/>
        <family val="2"/>
        <scheme val="minor"/>
      </rPr>
      <t>street type</t>
    </r>
    <r>
      <rPr>
        <u/>
        <sz val="11"/>
        <color theme="10"/>
        <rFont val="Calibri"/>
        <family val="2"/>
        <scheme val="minor"/>
      </rPr>
      <t xml:space="preserve"> best fits </t>
    </r>
    <r>
      <rPr>
        <sz val="11"/>
        <rFont val="Calibri"/>
        <family val="2"/>
        <scheme val="minor"/>
      </rPr>
      <t>your street is currently and understand if there is ambition to change the street type through design features. You should have clear scheme objectives, as this will help you interpret your results. First complete the 'Project' tab  with basic information about the scheme. Depending on the scheme's interaction with different modes of transport, some metrics will be filtered out that don't apply to your scheme. Score every metric in the current and proposed columns. To get a meaningful score, it can’t be an average or best score: score weakest element (on the basis routes can fail on a single issue in a very localised area). Use the 'Notes' column to provide additional information.</t>
    </r>
  </si>
  <si>
    <t>Waiting time after pressing call button for green man to be displayed</t>
  </si>
  <si>
    <t>Assumed walking speed at signal controlled crossings</t>
  </si>
  <si>
    <t>Walking speed used in calculating pedestrian crossing clearance timings</t>
  </si>
  <si>
    <r>
      <t>Group 3. Footway</t>
    </r>
    <r>
      <rPr>
        <b/>
        <i/>
        <sz val="12"/>
        <color theme="0"/>
        <rFont val="Calibri"/>
        <family val="2"/>
        <scheme val="minor"/>
      </rPr>
      <t xml:space="preserve"> </t>
    </r>
    <r>
      <rPr>
        <b/>
        <sz val="12"/>
        <color theme="0"/>
        <rFont val="Calibri"/>
        <family val="2"/>
        <scheme val="minor"/>
      </rPr>
      <t>(incl. shared use with cycles)</t>
    </r>
  </si>
  <si>
    <r>
      <rPr>
        <sz val="10"/>
        <rFont val="Calibri"/>
        <family val="2"/>
        <scheme val="minor"/>
      </rPr>
      <t>Minimum widths (other than 1.2m absolute minimum) varies by street type selected in 'Project' tab.
Point = over a distance &lt;6m.
See also</t>
    </r>
    <r>
      <rPr>
        <u/>
        <sz val="10"/>
        <color theme="10"/>
        <rFont val="Calibri"/>
        <family val="2"/>
        <scheme val="minor"/>
      </rPr>
      <t xml:space="preserve">
Chapter 3 GM Streets for All Design Guide</t>
    </r>
  </si>
  <si>
    <t>Trip hazards and surface quality</t>
  </si>
  <si>
    <t>Gradient over a specified distance</t>
  </si>
  <si>
    <t>Gradient over a specified distance on a ramps and structures exceeds Critical criteria.</t>
  </si>
  <si>
    <t>Legibility and tonal contrast of surfacing</t>
  </si>
  <si>
    <t>50m to 150m without cluttering the street environment.</t>
  </si>
  <si>
    <t>Basic direction signing e.g. pedestrians and cyclists follow road signs and markings.</t>
  </si>
  <si>
    <t>Some cycle and pedestrian specific direction signing.</t>
  </si>
  <si>
    <t>Wayfinding for pedestrians and cyclists</t>
  </si>
  <si>
    <t>Provision, quality and continuity of wayfinding</t>
  </si>
  <si>
    <t>Shared use with cycles</t>
  </si>
  <si>
    <t>Appropriateness and width of shared use with cycles</t>
  </si>
  <si>
    <r>
      <rPr>
        <sz val="10"/>
        <rFont val="Calibri"/>
        <family val="2"/>
        <scheme val="minor"/>
      </rPr>
      <t>Shared use should not be used in situations with current, or predicted, high pedestrian or cyclist flows.
See also</t>
    </r>
    <r>
      <rPr>
        <u/>
        <sz val="10"/>
        <color theme="10"/>
        <rFont val="Calibri"/>
        <family val="2"/>
        <scheme val="minor"/>
      </rPr>
      <t xml:space="preserve">
LTN 1/20 Guidance on shared use
</t>
    </r>
  </si>
  <si>
    <t>Speed at which drivers travel</t>
  </si>
  <si>
    <t>Effect of kerbside activity on cyclists</t>
  </si>
  <si>
    <t>Kerbside activity</t>
  </si>
  <si>
    <t>Route deviation</t>
  </si>
  <si>
    <t xml:space="preserve">No active frontage. There is little human activity, and no likelihood of human activity e.g. industrial buildings or homes with a significant set back from the street. Poor sense of personal safety both day and night. </t>
  </si>
  <si>
    <t>Some active frontage. There is some human activity, and some likelihood of human activity e.g. residential front doors open onto the street, GF windows overlook the street. Good sense of personal safety  during daylight hours only.</t>
  </si>
  <si>
    <t>Street scene</t>
  </si>
  <si>
    <t>There are no time or movement restrictions.</t>
  </si>
  <si>
    <t>There are few time or movement restrictions.</t>
  </si>
  <si>
    <r>
      <rPr>
        <sz val="10"/>
        <rFont val="Calibri"/>
        <family val="2"/>
        <scheme val="minor"/>
      </rPr>
      <t xml:space="preserve">Measures could include banned manoeuvres, modal filter/point closure, traffic cells, bus gate, vehicle restricted areas etc. Potential exemptions include residents, businesses, buses, taxis, blue badge holders and emergency vehicles etc.
See also
</t>
    </r>
    <r>
      <rPr>
        <u/>
        <sz val="10"/>
        <color theme="10"/>
        <rFont val="Calibri"/>
        <family val="2"/>
        <scheme val="minor"/>
      </rPr>
      <t>Chapter 4 and 5 GM Streets for All Design Guide</t>
    </r>
  </si>
  <si>
    <t>Measures to reduce impact of through traffic in a street or area</t>
  </si>
  <si>
    <t>Through movement of motor traffic</t>
  </si>
  <si>
    <t xml:space="preserve">There are measures which together work to prevent through movement of vehicles, appropriate to the street or area context. </t>
  </si>
  <si>
    <t>No street lighting.</t>
  </si>
  <si>
    <t>Uniformity and quality of street lighting and its impact on users</t>
  </si>
  <si>
    <t>Poor uniformity with many sections of the street poorly illuminated e.g. lack of coverage, obscured by vegetation, poor sense of personal safety.</t>
  </si>
  <si>
    <t>Moderate uniformity with some sections of the street poorly illuminated e.g. some dark spots.</t>
  </si>
  <si>
    <t>To achieve a score of 2, warmer lighting (3000k colour temperature or less) is more welcoming for users and better for wildlife.</t>
  </si>
  <si>
    <t>Provision of secure cycle parking on-street and off-street</t>
  </si>
  <si>
    <t>If no new cycle parking is proposed, but existing cycle parking already meets the score for 2 prior to scheme intervention, then score 2.</t>
  </si>
  <si>
    <t>Quantity and quality of green and blue infrastructure</t>
  </si>
  <si>
    <t xml:space="preserve">Functionality of green and blue infrastructure </t>
  </si>
  <si>
    <t>Quantity/coverage, continuity and quality of green and blue infrastructure to support local nature recovery</t>
  </si>
  <si>
    <t xml:space="preserve">Green and blue infrastructure examples include street trees, grass verges, boundary features e.g. hedges, SuDS enabled street trees, ponds, swales. </t>
  </si>
  <si>
    <t>Functionality of green and blue infrastructure in providing resilience to extreme weather events</t>
  </si>
  <si>
    <t>Street and path network</t>
  </si>
  <si>
    <r>
      <rPr>
        <sz val="10"/>
        <rFont val="Calibri"/>
        <family val="2"/>
        <scheme val="minor"/>
      </rPr>
      <t>See</t>
    </r>
    <r>
      <rPr>
        <u/>
        <sz val="10"/>
        <color theme="10"/>
        <rFont val="Calibri"/>
        <family val="2"/>
        <scheme val="minor"/>
      </rPr>
      <t xml:space="preserve"> Data Hub | Clean Air Greater Manchester</t>
    </r>
  </si>
  <si>
    <t>Cycle access to and cycle parking at public transport facility</t>
  </si>
  <si>
    <t>Street to platform/boarding point step free access</t>
  </si>
  <si>
    <t>Convenience of changing between bus services</t>
  </si>
  <si>
    <t>Bus stop proximity to other bus services</t>
  </si>
  <si>
    <t>Bus stops clustered together can create an effective informal interchange.</t>
  </si>
  <si>
    <t>No pedestrian crossings and/or pedestrian desire line is obstructed.</t>
  </si>
  <si>
    <t>Pedestrian access to public transport facility</t>
  </si>
  <si>
    <t>Pedestrian crossing(s) and ease of access</t>
  </si>
  <si>
    <t>Pedestrian crossing directly to public transport facility and all pedestrians desire lines are provided for.</t>
  </si>
  <si>
    <t>Bus journey time and reliability</t>
  </si>
  <si>
    <t>Street design influences bus journey time and reliability</t>
  </si>
  <si>
    <t>There are negative influences on bus journey time and reliability.</t>
  </si>
  <si>
    <t>There are positive influences on bus journey time and reliability.</t>
  </si>
  <si>
    <t>Degree to which bus stop zone is universally accessible for people using the stop and people passing by</t>
  </si>
  <si>
    <r>
      <rPr>
        <sz val="10"/>
        <rFont val="Calibri"/>
        <family val="2"/>
        <scheme val="minor"/>
      </rPr>
      <t xml:space="preserve">This is important for all users, but particularly important for visually impaired and neurodivergent people. 
See also
</t>
    </r>
    <r>
      <rPr>
        <u/>
        <sz val="10"/>
        <color theme="4" tint="-0.249977111117893"/>
        <rFont val="Calibri"/>
        <family val="2"/>
        <scheme val="minor"/>
      </rPr>
      <t>PAS 6463 - Design for the mind. Neurodiversity &amp; the built environment</t>
    </r>
  </si>
  <si>
    <r>
      <rPr>
        <sz val="10"/>
        <rFont val="Calibri"/>
        <family val="2"/>
        <scheme val="minor"/>
      </rPr>
      <t>See also</t>
    </r>
    <r>
      <rPr>
        <u/>
        <sz val="10"/>
        <color theme="10"/>
        <rFont val="Calibri"/>
        <family val="2"/>
        <scheme val="minor"/>
      </rPr>
      <t xml:space="preserve">
Chapter 3 GM Streets for All Design Guide
</t>
    </r>
  </si>
  <si>
    <t>Perception of safety at stop</t>
  </si>
  <si>
    <t>No /dated timetable information at stop.</t>
  </si>
  <si>
    <t>Stop has an information board with an up-to-date timetable.
Stops with &gt;40 boarders have passive provision for Real Time Information Board in future (i.e. ducting &amp; electricity connection).</t>
  </si>
  <si>
    <t>Stop is in unlit area/no lighting is provided at the bus stop</t>
  </si>
  <si>
    <t>Shared use (between cycles and pedestrians)</t>
  </si>
  <si>
    <t>Access controls</t>
  </si>
  <si>
    <t>Width of shared use path</t>
  </si>
  <si>
    <t>Examples include barriers, bollards, A-frames, gates.</t>
  </si>
  <si>
    <t>Degree to which access controls are universally accessible</t>
  </si>
  <si>
    <t>Surface/construction type</t>
  </si>
  <si>
    <t>Continuous street lighting with good uniformity, high level of illumination and coverage both along and across the whole street.</t>
  </si>
  <si>
    <t>Score N/A if no parking, servicing or loading
Consider how traffic management impacts all users. People walking and wheeling should be considered first in the design process, applied in a context sensitive way.</t>
  </si>
  <si>
    <t>Street functionality and quality of place is mildly impacted. Some design features present to mitigate impacts e.g. appropriate use and size of directional signage, time-limited loading.</t>
  </si>
  <si>
    <t>Traffic management and traffic engineering</t>
  </si>
  <si>
    <t>Context sensitive approach to traffic management and traffic engineering</t>
  </si>
  <si>
    <t>Street functionality and quality of place is severely impacted by inappropriate approach to traffic, parking and loading management e.g. overuse of lining, bollards, traffic island, delays to buses due to blocking of highway by service vehicles or unmanaged parking. 
Street is dominated by features to control related to movement of traffic.</t>
  </si>
  <si>
    <t xml:space="preserve">Ponding, however caused, occurs regularly on the footway, cycle track or carriageway or at dropped kerb crossing points, and remains for significant period of time after rainfall event.
</t>
  </si>
  <si>
    <t xml:space="preserve">Some transient ponding, however caused, occurs on the footway, cycle track or carriageway or at dropped kerb crossing points in heavy rainfall events. </t>
  </si>
  <si>
    <t>No ponding on the  footway, cycle track, or carriageway or at dropped kerb crossing points. No hydraulic surcharge of drainage system in heavy rainfall events. Schemes do not increase flood risk elsewhere.</t>
  </si>
  <si>
    <t xml:space="preserve">Desire lines should also be considered across the wider street network to give direct access to schools, healthcare and community facilities, bus stops etc. </t>
  </si>
  <si>
    <t>Pedestrian routeing and desire lines</t>
  </si>
  <si>
    <t>Negative influences may include unclear road markings, narrow lane width, parking / loading issues, short cage length, mixing with congested traffic, bus laybys without operational need.
Positive influences may include banned turns for vehicles other than bus, late running bus traffic signal priority, bus friendly raised tables, bus clearways that ensure bus stops are clear of vehicles other than buses, to speed up boarding and ensure buses are fully accessible via deployment of access ramp onto footway.</t>
  </si>
  <si>
    <t xml:space="preserve">Intuitive and direct and attractive routes for people walking, wheeling and cycling including traffic-free routes which feel safe both day and night. Street features and local landmarks serve to create a legible network. </t>
  </si>
  <si>
    <t>Group 6. Public transport and shared mobility</t>
  </si>
  <si>
    <t>Safe and direct cycle access. Cyclists not required to dismount to reach cycle parking. 
Secure cycle parking provided to cater to existing and future demand.</t>
  </si>
  <si>
    <t xml:space="preserve">No dedicated cycle access to public transport facility. Short dismount required for cyclists (&lt;50m). 
Some secure cycle parking available. </t>
  </si>
  <si>
    <t>No direct cycle access. 
No secure cycle parking or cycle parking is poorly positioned either creating an obstruction or is located away from public transport facility.</t>
  </si>
  <si>
    <t>Type of surfacing</t>
  </si>
  <si>
    <t>Type of surfacing appropriate to context</t>
  </si>
  <si>
    <t xml:space="preserve">Materials are not appropriate to context e.g. asphalt footways in Destination Places with heavy footfall. </t>
  </si>
  <si>
    <t>Materials well-considered and appropriate to context. e.g. small aggregate surface dressing used to mitigate noise pollution on Residential Connector Street, or Hot Rolled Asphalt (HRA) on heavily-trafficked Multi-Lane Connector Street, or natural stone in Destination Places.</t>
  </si>
  <si>
    <t xml:space="preserve">Examples include play streets, interactive art, murals, green features, drinking fountain, benches.
There is a presumption that existing pedestrian guardrailing is removed as part of Streets for All schemes, unless there is a strong case for its retention. </t>
  </si>
  <si>
    <t>The 85th percentile speed is the speed at or below which 85 percent of the drivers travel on a street segment.
Posted speed limit should take into account frontage context along the street.</t>
  </si>
  <si>
    <t xml:space="preserve">Consider inclusive seating e.g. at a variety of heights, with/without arm or back rests. </t>
  </si>
  <si>
    <t xml:space="preserve">Cycle parking is provided to LTN 1/20 standards to meet future demand. Consistent natural surveillance and/ or CCTV, and good level of lighting throughout day and night. </t>
  </si>
  <si>
    <t xml:space="preserve">No additional secure cycle parking proposed.
Existing cycle parking creates an obstruction for people walking and wheeling. </t>
  </si>
  <si>
    <t>Width of cycle facility</t>
  </si>
  <si>
    <t>Cyclist's ability to pass other users</t>
  </si>
  <si>
    <t>Choice of materials and design of street environment</t>
  </si>
  <si>
    <t xml:space="preserve">When selecting surface materials consideration should be given to maximising use of low carbon or recycled materials. Also, consider urban heat island effect of surface materials and mitigation e.g. canopy cover reduces heating effect of asphalt.
Materials should be chosen to suit the context of the street and whole-life costs and maintenance considered. </t>
  </si>
  <si>
    <t>Street functionality and quality of place is supported by the approach to traffic, parking and loading management e.g. red route to support bus services and drivers, multi-functional on-street parking and loading bays.
Traffic management and engineering features are minimised as appropriate to the context.</t>
  </si>
  <si>
    <t>Bus stops - Universally accessibility</t>
  </si>
  <si>
    <r>
      <rPr>
        <sz val="10"/>
        <rFont val="Calibri"/>
        <family val="2"/>
        <scheme val="minor"/>
      </rPr>
      <t xml:space="preserve">Kerb radii requirements: 
From 20mph to 20mph - 0m - 3m
From 30mph to 20mph - 0m - 3m
From 30mph to 30mph - 3m - 6m
Dropped kerbs at crossing points must be flush - upstand tolerance - 0-6mm
Ramps down to dropped kerbs &gt;1:12 can be difficult for some users e.g. people using wheeled mobility aids may be at risk of tipping over. To give adequately shallow approach to dropped kerbs the ramp would usually extend beyond the standard depth of tactile paving.
See also
</t>
    </r>
    <r>
      <rPr>
        <u/>
        <sz val="10"/>
        <color theme="10"/>
        <rFont val="Calibri"/>
        <family val="2"/>
        <scheme val="minor"/>
      </rPr>
      <t>guidance-on-the-use-of-tactile-paving-surfaces.pdf</t>
    </r>
  </si>
  <si>
    <t>&lt;3.25 or &gt;3.9m, there are no speed cushions, and the street is designed to mitigate likelihood of close passes (see guidance notes).</t>
  </si>
  <si>
    <t xml:space="preserve">Inconsistent use of materials e.g. natural stone and asphalt used intermittently. Materials are not appropriate to context. Utility opening not matched with surrounding materials. </t>
  </si>
  <si>
    <t>Surface water ponding impact on street users and uses</t>
  </si>
  <si>
    <t xml:space="preserve">Surface water ponding can act as a barrier e.g. ponding across a dropped crossing, pedestrians splashed by motor traffic.
Whole-life costs and maintenance should be considered e.g. kerb drains vs gullies. </t>
  </si>
  <si>
    <r>
      <rPr>
        <b/>
        <sz val="11"/>
        <color theme="9" tint="-0.249977111117893"/>
        <rFont val="Calibri"/>
        <family val="2"/>
        <scheme val="minor"/>
      </rPr>
      <t xml:space="preserve">Note on walking, wheeling and pedestrians
</t>
    </r>
    <r>
      <rPr>
        <sz val="11"/>
        <color theme="1"/>
        <rFont val="Calibri"/>
        <family val="2"/>
        <scheme val="minor"/>
      </rPr>
      <t xml:space="preserve">References to pedestrians include people using: mobility aids such as wheelchairs and rollators; powered wheelchairs; mobility scooters designed for use on the footway, and people with physical, sensory or cognitive impairments who are travelling on foot. Definition sourced from DfT Inclusive Mobility (2021).
</t>
    </r>
  </si>
  <si>
    <t>Lots of redundant street furniture, inappropriate and overuse of pedestrian guardrailing, advertising and temporary signage causing obstructions. Signage clutter contributing to visual overload for all users.
No street engagement features.</t>
  </si>
  <si>
    <t>No redundant street furniture, no pedestrian guardrailing, advertising or temporary signage. Signage clutter is minimal.
Street designed  as a place to pass through, stay or play for all. Greenery, opportunities for play, art etc. located regularly along the route.</t>
  </si>
  <si>
    <t>Bus customers wait on the footway without sufficient space to wait.
Stop with &gt;40 boarders per day with no shelter and seating provided.</t>
  </si>
  <si>
    <t>Stop with &lt;40 boarders per day to provide sufficient space for passengers to wait without impacting footway space. 
Stop with &gt;40 boarders per day to provide accessible seating and adequate rain and sun shelter. There is sufficient space at peak times for passengers to wait without impacting footway space.</t>
  </si>
  <si>
    <t>TRUUD</t>
  </si>
  <si>
    <t xml:space="preserve">Overall Streets for All score </t>
  </si>
  <si>
    <t xml:space="preserve">Proposed layout - remaining critical item </t>
  </si>
  <si>
    <t>Proposed layout</t>
  </si>
  <si>
    <t>Existing layout</t>
  </si>
  <si>
    <t xml:space="preserve">Proposed layout </t>
  </si>
  <si>
    <t>Critical item</t>
  </si>
  <si>
    <t xml:space="preserve"> &gt;8000 PCU's a day and controlled crossing points are between 100m and 200m.
&lt;8000 PCU's a day formal crossing provided for most desire lines, including all bus stop pairs.</t>
  </si>
  <si>
    <t xml:space="preserve"> &gt;8000 PCU's a day and more than 400m between controlled crossing points.
&lt;8000 PCU's a day no formal crossings provided on desire lines.</t>
  </si>
  <si>
    <t xml:space="preserve"> &gt;8000 PCU's a day and controlled crossing points are between 200m and 400m.
&lt;8000 PCU's a day formal crossing provided for some desire lines.</t>
  </si>
  <si>
    <t>A formal crossing point may be controlled or uncontrolled as appropriate for the context.
If traffic volumes not known, take a 15 or 30 minute spot count and use locally available traffic count data to factor this up to an estimate of daily flow.
See also
Traffic Signs Manual Chapter 6</t>
  </si>
  <si>
    <t xml:space="preserve"> &gt;8000 PCU's a day and controlled crossing points are less than 100m apart.
&lt;8000 PCU's a day formal crossing provided for all desire lines, including all bus stop pairs.</t>
  </si>
  <si>
    <t>Distance between formal crossing points considering PCU's a day</t>
  </si>
  <si>
    <t>No defects more than 6mm.</t>
  </si>
  <si>
    <t>Any defect presenting a level difference of &gt;=13mm.</t>
  </si>
  <si>
    <t>Many defects presenting a level difference of between 13mm and 7mm.</t>
  </si>
  <si>
    <t>Some defects presenting a level difference of between 13mm and 7mm.</t>
  </si>
  <si>
    <t>Cycle facility alongside parking/loading with no buffer, or buffer &lt;0.5m.
Or, a cycle lane runs between a frequently-used bus layby and nearside traffic lane.</t>
  </si>
  <si>
    <r>
      <rPr>
        <sz val="10"/>
        <rFont val="Calibri"/>
        <family val="2"/>
        <scheme val="minor"/>
      </rPr>
      <t>Kerbside activity includes vehicle parking bays, loading/unloading, bus stops, drop-off, pick-up.
Frequent bus service = 5 or more buses per hour
See also</t>
    </r>
    <r>
      <rPr>
        <u/>
        <sz val="10"/>
        <color theme="10"/>
        <rFont val="Calibri"/>
        <family val="2"/>
        <scheme val="minor"/>
      </rPr>
      <t xml:space="preserve">
Chapter 3 GM Streets for All Design Guide
</t>
    </r>
  </si>
  <si>
    <t>Provision of protected cycle facilities</t>
  </si>
  <si>
    <t>Uncontrolled crossing of &gt;2 lanes and/or no green man pedestrian facilities on any arm of a signalised junction.
Uncontrolled crossings where 85th percentile speed is greater than 30mph.</t>
  </si>
  <si>
    <r>
      <rPr>
        <sz val="10"/>
        <rFont val="Calibri"/>
        <family val="2"/>
        <scheme val="minor"/>
      </rPr>
      <t xml:space="preserve">Active Travel England route check requirement = uncontrolled crossings where 85th percentile speed is greater than 30mph.
See also </t>
    </r>
    <r>
      <rPr>
        <u/>
        <sz val="10"/>
        <color theme="10"/>
        <rFont val="Calibri"/>
        <family val="2"/>
        <scheme val="minor"/>
      </rPr>
      <t xml:space="preserve">
Chapter 3 GM Streets for All Design Guide
</t>
    </r>
    <r>
      <rPr>
        <sz val="10"/>
        <rFont val="Calibri"/>
        <family val="2"/>
        <scheme val="minor"/>
      </rPr>
      <t>Traffic Signs Manual Chapter 6</t>
    </r>
  </si>
  <si>
    <t>Active Travel England route check requirement = 13mm
6mm = flush kerb upstand tolerance.
For areas covered by a new scheme there should be no level differences greater than 6mm.</t>
  </si>
  <si>
    <t>Group 2. Pedestrian crossings and vehicle access across footway and/or cycle track</t>
  </si>
  <si>
    <t>Dutch entrance kerbs, or equivalent kerbside slope, at some dropped vehicle crossovers. 'Near level' footway width &lt;900mm.
Cycle track undulates at vehicle access crossovers but is mitigated e.g. level change over 2 or more standard kerb lengths, does not drop fully to carriageway level.</t>
  </si>
  <si>
    <t>Near level' footway = crossfall no greater than 2.5%
Standard kerb length = 915mm</t>
  </si>
  <si>
    <t>Vehicle access and footway disrupting footway or cycle track and footway crossfalls</t>
  </si>
  <si>
    <t>&lt;900mm 'near level' footway width, including at vehicle crossovers.
Cycle track undulates at vehicle access crossovers.</t>
  </si>
  <si>
    <t>Undulating footways and cycle tracks at vehicle crossovers.
Footway crossfalls.</t>
  </si>
  <si>
    <t>Dutch entrance kerbs, or equivalent kerbside slope, at all dropped vehicle crossovers to maximise 'near level' width of footway. Crossdall no greater than 2.5%
Cycle track is level at vehicle access crossovers.</t>
  </si>
  <si>
    <t>Some redundant street furniture, minimal pedestrian guardrailing where use is clearly  appropriate to context e.g. for safety purposes, advertising and temporary advertising. Some signage clutter contributing to visual overload for all users.
Occasional greenery, opportunities for play, art etc.</t>
  </si>
  <si>
    <t xml:space="preserve">&gt;4,000 a day
&gt;400 in peak hour
And cyclists are not protected.
</t>
  </si>
  <si>
    <t>Version</t>
  </si>
  <si>
    <t>Date</t>
  </si>
  <si>
    <t>Details of amendments</t>
  </si>
  <si>
    <t>Version 2.2</t>
  </si>
  <si>
    <t>First issue of version 2.</t>
  </si>
  <si>
    <r>
      <rPr>
        <b/>
        <sz val="10"/>
        <color theme="1"/>
        <rFont val="Calibri"/>
        <family val="2"/>
        <scheme val="minor"/>
      </rPr>
      <t xml:space="preserve">Metric 6 </t>
    </r>
    <r>
      <rPr>
        <sz val="10"/>
        <color theme="1"/>
        <rFont val="Calibri"/>
        <family val="2"/>
        <scheme val="minor"/>
      </rPr>
      <t xml:space="preserve">now references criteria for controlled crossing points for PCU’s &gt;8000 per day and criteria for formal crossing points for PCU’s &lt;8000 per day to align with ATE Route Check tool.
</t>
    </r>
    <r>
      <rPr>
        <b/>
        <sz val="10"/>
        <color theme="1"/>
        <rFont val="Calibri"/>
        <family val="2"/>
        <scheme val="minor"/>
      </rPr>
      <t>Metric 7</t>
    </r>
    <r>
      <rPr>
        <sz val="10"/>
        <color theme="1"/>
        <rFont val="Calibri"/>
        <family val="2"/>
        <scheme val="minor"/>
      </rPr>
      <t xml:space="preserve"> critical item now includes uncontrolled crossings where 85th percentile speed is greater than 30mph to align with ATE Route Check tool.
</t>
    </r>
    <r>
      <rPr>
        <b/>
        <sz val="10"/>
        <color theme="1"/>
        <rFont val="Calibri"/>
        <family val="2"/>
        <scheme val="minor"/>
      </rPr>
      <t>Metric 11</t>
    </r>
    <r>
      <rPr>
        <sz val="10"/>
        <color theme="1"/>
        <rFont val="Calibri"/>
        <family val="2"/>
        <scheme val="minor"/>
      </rPr>
      <t xml:space="preserve"> now references cycle tracks in addition to footways to align with ATE Route Check tool.
</t>
    </r>
    <r>
      <rPr>
        <b/>
        <sz val="10"/>
        <color theme="1"/>
        <rFont val="Calibri"/>
        <family val="2"/>
        <scheme val="minor"/>
      </rPr>
      <t>Metric 13</t>
    </r>
    <r>
      <rPr>
        <sz val="10"/>
        <color theme="1"/>
        <rFont val="Calibri"/>
        <family val="2"/>
        <scheme val="minor"/>
      </rPr>
      <t xml:space="preserve"> critical item changed to a threshold of &gt;=13mm to align with ATE Route Check tool.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</si>
</sst>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64" x14ac:knownFonts="1">
    <font>
      <sz val="11"/>
      <color theme="1"/>
      <name val="Calibri"/>
      <family val="2"/>
      <scheme val="minor"/>
    </font>
    <font>
      <u/>
      <sz val="11"/>
      <color theme="10"/>
      <name val="Calibri"/>
      <family val="2"/>
      <scheme val="minor"/>
    </font>
    <font>
      <u/>
      <sz val="11"/>
      <name val="Calibri"/>
      <family val="2"/>
      <scheme val="minor"/>
    </font>
    <font>
      <b/>
      <sz val="11"/>
      <color theme="9" tint="-0.249977111117893"/>
      <name val="Calibri"/>
      <family val="2"/>
      <scheme val="minor"/>
    </font>
    <font>
      <sz val="11"/>
      <color rgb="FFFF0000"/>
      <name val="Calibri"/>
      <family val="2"/>
      <scheme val="minor"/>
    </font>
    <font>
      <b/>
      <i/>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0"/>
      <color theme="1"/>
      <name val="Calibri"/>
      <family val="2"/>
      <scheme val="minor"/>
    </font>
    <font>
      <b/>
      <sz val="14"/>
      <color rgb="FF4D6361"/>
      <name val="Calibri"/>
      <family val="2"/>
      <scheme val="minor"/>
    </font>
    <font>
      <b/>
      <sz val="12"/>
      <color rgb="FF4D6361"/>
      <name val="Calibri"/>
      <family val="2"/>
      <scheme val="minor"/>
    </font>
    <font>
      <b/>
      <i/>
      <sz val="12"/>
      <color rgb="FF4D6361"/>
      <name val="Calibri"/>
      <family val="2"/>
      <scheme val="minor"/>
    </font>
    <font>
      <b/>
      <sz val="12"/>
      <color rgb="FF4E656A"/>
      <name val="Calibri"/>
      <family val="2"/>
      <scheme val="minor"/>
    </font>
    <font>
      <sz val="11"/>
      <color rgb="FF4E656A"/>
      <name val="Calibri"/>
      <family val="2"/>
      <scheme val="minor"/>
    </font>
    <font>
      <b/>
      <sz val="12"/>
      <color theme="1"/>
      <name val="Calibri"/>
      <family val="2"/>
      <scheme val="minor"/>
    </font>
    <font>
      <sz val="16"/>
      <color theme="1"/>
      <name val="Calibri"/>
      <family val="2"/>
      <scheme val="minor"/>
    </font>
    <font>
      <b/>
      <sz val="10"/>
      <color theme="1"/>
      <name val="Calibri"/>
      <family val="2"/>
      <scheme val="minor"/>
    </font>
    <font>
      <sz val="10"/>
      <name val="Calibri"/>
      <family val="2"/>
      <scheme val="minor"/>
    </font>
    <font>
      <sz val="9"/>
      <color theme="1"/>
      <name val="Calibri"/>
      <family val="2"/>
      <scheme val="minor"/>
    </font>
    <font>
      <b/>
      <sz val="14"/>
      <color theme="1"/>
      <name val="Calibri"/>
      <family val="2"/>
      <scheme val="minor"/>
    </font>
    <font>
      <b/>
      <sz val="12"/>
      <color theme="0"/>
      <name val="Calibri"/>
      <family val="2"/>
      <scheme val="minor"/>
    </font>
    <font>
      <sz val="12"/>
      <color theme="1"/>
      <name val="Calibri"/>
      <family val="2"/>
      <scheme val="minor"/>
    </font>
    <font>
      <b/>
      <i/>
      <sz val="11"/>
      <color rgb="FF4D6361"/>
      <name val="Calibri"/>
      <family val="2"/>
      <scheme val="minor"/>
    </font>
    <font>
      <b/>
      <i/>
      <sz val="12"/>
      <color theme="0"/>
      <name val="Calibri"/>
      <family val="2"/>
      <scheme val="minor"/>
    </font>
    <font>
      <b/>
      <sz val="10"/>
      <color rgb="FF4D6361"/>
      <name val="Calibri"/>
      <family val="2"/>
      <scheme val="minor"/>
    </font>
    <font>
      <b/>
      <sz val="10"/>
      <color rgb="FF4E656A"/>
      <name val="Calibri"/>
      <family val="2"/>
      <scheme val="minor"/>
    </font>
    <font>
      <b/>
      <i/>
      <sz val="8"/>
      <color rgb="FFFFC000"/>
      <name val="Calibri"/>
      <family val="2"/>
      <scheme val="minor"/>
    </font>
    <font>
      <b/>
      <sz val="10"/>
      <color theme="0"/>
      <name val="Calibri"/>
      <family val="2"/>
      <scheme val="minor"/>
    </font>
    <font>
      <b/>
      <sz val="13"/>
      <name val="Calibri"/>
      <family val="2"/>
      <scheme val="minor"/>
    </font>
    <font>
      <b/>
      <sz val="13"/>
      <color rgb="FF00B050"/>
      <name val="Calibri"/>
      <family val="2"/>
      <scheme val="minor"/>
    </font>
    <font>
      <sz val="13"/>
      <name val="Calibri"/>
      <family val="2"/>
      <scheme val="minor"/>
    </font>
    <font>
      <sz val="13"/>
      <color theme="1"/>
      <name val="Calibri"/>
      <family val="2"/>
      <scheme val="minor"/>
    </font>
    <font>
      <b/>
      <sz val="13"/>
      <color theme="1"/>
      <name val="Calibri"/>
      <family val="2"/>
      <scheme val="minor"/>
    </font>
    <font>
      <b/>
      <sz val="14"/>
      <name val="Calibri"/>
      <family val="2"/>
      <scheme val="minor"/>
    </font>
    <font>
      <b/>
      <sz val="12"/>
      <name val="Calibri"/>
      <family val="2"/>
      <scheme val="minor"/>
    </font>
    <font>
      <b/>
      <sz val="11"/>
      <name val="Calibri"/>
      <family val="2"/>
      <scheme val="minor"/>
    </font>
    <font>
      <b/>
      <sz val="10"/>
      <name val="Calibri"/>
      <family val="2"/>
      <scheme val="minor"/>
    </font>
    <font>
      <b/>
      <sz val="12"/>
      <color theme="0"/>
      <name val="Wingdings"/>
      <charset val="2"/>
    </font>
    <font>
      <b/>
      <sz val="13"/>
      <color theme="3"/>
      <name val="Calibri"/>
      <family val="2"/>
      <scheme val="minor"/>
    </font>
    <font>
      <sz val="18"/>
      <name val="Calibri"/>
      <family val="2"/>
      <scheme val="minor"/>
    </font>
    <font>
      <sz val="13"/>
      <color theme="0" tint="-0.14999847407452621"/>
      <name val="Calibri"/>
      <family val="2"/>
      <scheme val="minor"/>
    </font>
    <font>
      <b/>
      <sz val="10"/>
      <color theme="0"/>
      <name val="Wingdings"/>
      <charset val="2"/>
    </font>
    <font>
      <sz val="8"/>
      <color theme="1"/>
      <name val="Calibri"/>
      <family val="2"/>
      <scheme val="minor"/>
    </font>
    <font>
      <sz val="11"/>
      <name val="Calibri"/>
      <family val="2"/>
      <scheme val="minor"/>
    </font>
    <font>
      <b/>
      <sz val="22"/>
      <name val="Calibri"/>
      <family val="2"/>
      <scheme val="minor"/>
    </font>
    <font>
      <u/>
      <sz val="11"/>
      <color theme="1"/>
      <name val="Calibri"/>
      <family val="2"/>
      <scheme val="minor"/>
    </font>
    <font>
      <i/>
      <sz val="10"/>
      <color theme="1"/>
      <name val="Calibri"/>
      <family val="2"/>
      <scheme val="minor"/>
    </font>
    <font>
      <sz val="36"/>
      <color theme="1"/>
      <name val="Calibri"/>
      <family val="2"/>
      <scheme val="minor"/>
    </font>
    <font>
      <sz val="8"/>
      <name val="Calibri"/>
      <family val="2"/>
      <scheme val="minor"/>
    </font>
    <font>
      <b/>
      <sz val="18"/>
      <color theme="0"/>
      <name val="Calibri"/>
      <family val="2"/>
      <scheme val="minor"/>
    </font>
    <font>
      <b/>
      <sz val="16"/>
      <color theme="0"/>
      <name val="Calibri"/>
      <family val="2"/>
      <scheme val="minor"/>
    </font>
    <font>
      <sz val="10"/>
      <color theme="2" tint="-0.249977111117893"/>
      <name val="Calibri"/>
      <family val="2"/>
      <scheme val="minor"/>
    </font>
    <font>
      <b/>
      <sz val="72"/>
      <color rgb="FF4D6361"/>
      <name val="Calibri"/>
      <family val="2"/>
      <scheme val="minor"/>
    </font>
    <font>
      <b/>
      <sz val="11"/>
      <color rgb="FFFF0000"/>
      <name val="Calibri"/>
      <family val="2"/>
      <scheme val="minor"/>
    </font>
    <font>
      <u/>
      <sz val="10"/>
      <color theme="10"/>
      <name val="Calibri"/>
      <family val="2"/>
      <scheme val="minor"/>
    </font>
    <font>
      <u/>
      <sz val="18"/>
      <color theme="10"/>
      <name val="Calibri"/>
      <family val="2"/>
      <scheme val="minor"/>
    </font>
    <font>
      <b/>
      <sz val="10"/>
      <color theme="2" tint="-0.249977111117893"/>
      <name val="Calibri"/>
      <family val="2"/>
      <scheme val="minor"/>
    </font>
    <font>
      <u/>
      <sz val="11"/>
      <color theme="4" tint="-0.249977111117893"/>
      <name val="Calibri"/>
      <family val="2"/>
      <scheme val="minor"/>
    </font>
    <font>
      <u/>
      <sz val="10"/>
      <color theme="4" tint="-0.249977111117893"/>
      <name val="Calibri"/>
      <family val="2"/>
      <scheme val="minor"/>
    </font>
    <font>
      <b/>
      <sz val="13"/>
      <color theme="9"/>
      <name val="Calibri"/>
      <family val="2"/>
      <scheme val="minor"/>
    </font>
    <font>
      <sz val="11"/>
      <color theme="1"/>
      <name val="Aptos"/>
      <family val="2"/>
    </font>
  </fonts>
  <fills count="3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rgb="FFFF7D7D"/>
        <bgColor indexed="64"/>
      </patternFill>
    </fill>
    <fill>
      <patternFill patternType="solid">
        <fgColor rgb="FFEAB2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E51E44"/>
        <bgColor indexed="64"/>
      </patternFill>
    </fill>
    <fill>
      <patternFill patternType="solid">
        <fgColor rgb="FF233977"/>
        <bgColor indexed="64"/>
      </patternFill>
    </fill>
    <fill>
      <patternFill patternType="solid">
        <fgColor rgb="FFE9531D"/>
        <bgColor indexed="64"/>
      </patternFill>
    </fill>
    <fill>
      <patternFill patternType="solid">
        <fgColor rgb="FF076E48"/>
        <bgColor indexed="64"/>
      </patternFill>
    </fill>
    <fill>
      <patternFill patternType="solid">
        <fgColor rgb="FFFBB715"/>
        <bgColor indexed="64"/>
      </patternFill>
    </fill>
    <fill>
      <patternFill patternType="solid">
        <fgColor rgb="FF512D64"/>
        <bgColor indexed="64"/>
      </patternFill>
    </fill>
    <fill>
      <patternFill patternType="solid">
        <fgColor rgb="FF9F182F"/>
        <bgColor indexed="64"/>
      </patternFill>
    </fill>
    <fill>
      <patternFill patternType="solid">
        <fgColor rgb="FFFDFDFD"/>
        <bgColor indexed="64"/>
      </patternFill>
    </fill>
    <fill>
      <patternFill patternType="solid">
        <fgColor rgb="FFFF0000"/>
        <bgColor indexed="64"/>
      </patternFill>
    </fill>
    <fill>
      <patternFill patternType="solid">
        <fgColor theme="7" tint="0.59999389629810485"/>
        <bgColor indexed="64"/>
      </patternFill>
    </fill>
    <fill>
      <patternFill patternType="solid">
        <fgColor rgb="FFBDD7EE"/>
        <bgColor indexed="64"/>
      </patternFill>
    </fill>
    <fill>
      <patternFill patternType="solid">
        <fgColor rgb="FF595959"/>
        <bgColor indexed="64"/>
      </patternFill>
    </fill>
    <fill>
      <patternFill patternType="solid">
        <fgColor rgb="FFFFE699"/>
        <bgColor indexed="64"/>
      </patternFill>
    </fill>
    <fill>
      <patternFill patternType="solid">
        <fgColor theme="9" tint="0.39994506668294322"/>
        <bgColor indexed="64"/>
      </patternFill>
    </fill>
    <fill>
      <patternFill patternType="solid">
        <fgColor rgb="FFFFF7E1"/>
        <bgColor indexed="64"/>
      </patternFill>
    </fill>
    <fill>
      <patternFill patternType="solid">
        <fgColor rgb="FFFFFF00"/>
        <bgColor indexed="64"/>
      </patternFill>
    </fill>
    <fill>
      <patternFill patternType="solid">
        <fgColor theme="2" tint="-0.49998474074526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rgb="FF4D6361"/>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4D6361"/>
      </right>
      <top style="thin">
        <color rgb="FF4D6361"/>
      </top>
      <bottom style="thin">
        <color rgb="FF4D636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rgb="FF4D6361"/>
      </bottom>
      <diagonal/>
    </border>
    <border>
      <left style="medium">
        <color indexed="64"/>
      </left>
      <right/>
      <top style="thin">
        <color rgb="FF4D6361"/>
      </top>
      <bottom style="thin">
        <color rgb="FF4D6361"/>
      </bottom>
      <diagonal/>
    </border>
    <border>
      <left style="medium">
        <color indexed="64"/>
      </left>
      <right/>
      <top style="medium">
        <color indexed="64"/>
      </top>
      <bottom style="thin">
        <color rgb="FF4D6361"/>
      </bottom>
      <diagonal/>
    </border>
    <border>
      <left style="thin">
        <color indexed="64"/>
      </left>
      <right style="thin">
        <color indexed="64"/>
      </right>
      <top/>
      <bottom style="medium">
        <color indexed="64"/>
      </bottom>
      <diagonal/>
    </border>
    <border>
      <left style="medium">
        <color indexed="64"/>
      </left>
      <right/>
      <top style="thin">
        <color rgb="FF4D6361"/>
      </top>
      <bottom style="thin">
        <color indexed="64"/>
      </bottom>
      <diagonal/>
    </border>
    <border>
      <left style="medium">
        <color indexed="64"/>
      </left>
      <right/>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thin">
        <color rgb="FF4D6361"/>
      </top>
      <bottom/>
      <diagonal/>
    </border>
    <border>
      <left style="medium">
        <color indexed="64"/>
      </left>
      <right/>
      <top style="medium">
        <color indexed="64"/>
      </top>
      <bottom/>
      <diagonal/>
    </border>
    <border>
      <left/>
      <right/>
      <top/>
      <bottom style="medium">
        <color indexed="64"/>
      </bottom>
      <diagonal/>
    </border>
    <border>
      <left style="dashed">
        <color rgb="FF4D6361"/>
      </left>
      <right style="dashed">
        <color rgb="FF4D6361"/>
      </right>
      <top style="dashed">
        <color rgb="FF4D6361"/>
      </top>
      <bottom style="dashed">
        <color rgb="FF4D6361"/>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dashed">
        <color rgb="FF4D6361"/>
      </left>
      <right/>
      <top style="dashed">
        <color rgb="FF4D6361"/>
      </top>
      <bottom style="dashed">
        <color rgb="FF4D6361"/>
      </bottom>
      <diagonal/>
    </border>
    <border>
      <left/>
      <right style="dashed">
        <color rgb="FF4D6361"/>
      </right>
      <top style="dashed">
        <color rgb="FF4D6361"/>
      </top>
      <bottom style="dashed">
        <color rgb="FF4D6361"/>
      </bottom>
      <diagonal/>
    </border>
    <border>
      <left/>
      <right/>
      <top style="dashed">
        <color rgb="FF4D6361"/>
      </top>
      <bottom style="dashed">
        <color rgb="FF4D6361"/>
      </bottom>
      <diagonal/>
    </border>
    <border>
      <left style="dashed">
        <color rgb="FF4D6361"/>
      </left>
      <right style="dashed">
        <color rgb="FF4D6361"/>
      </right>
      <top style="dashed">
        <color rgb="FF4D6361"/>
      </top>
      <bottom/>
      <diagonal/>
    </border>
    <border>
      <left style="dashed">
        <color rgb="FF4D6361"/>
      </left>
      <right style="dashed">
        <color rgb="FF4D6361"/>
      </right>
      <top/>
      <bottom style="dashed">
        <color rgb="FF4D6361"/>
      </bottom>
      <diagonal/>
    </border>
    <border>
      <left style="dashed">
        <color rgb="FF4D6361"/>
      </left>
      <right/>
      <top style="dashed">
        <color rgb="FF4D6361"/>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rgb="FF4D6361"/>
      </left>
      <right/>
      <top/>
      <bottom style="dashed">
        <color rgb="FF4D6361"/>
      </bottom>
      <diagonal/>
    </border>
    <border>
      <left/>
      <right style="dashed">
        <color rgb="FF4D6361"/>
      </right>
      <top style="dashed">
        <color rgb="FF4D6361"/>
      </top>
      <bottom/>
      <diagonal/>
    </border>
    <border>
      <left/>
      <right style="dashed">
        <color rgb="FF4D6361"/>
      </right>
      <top/>
      <bottom style="dashed">
        <color rgb="FF4D636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ashed">
        <color rgb="FF4D636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rgb="FF4D6361"/>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ashed">
        <color rgb="FF4D6361"/>
      </right>
      <top style="dashed">
        <color rgb="FF4D6361"/>
      </top>
      <bottom style="dashed">
        <color rgb="FF4D636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medium">
        <color indexed="64"/>
      </left>
      <right style="dashed">
        <color rgb="FF4D6361"/>
      </right>
      <top style="dashed">
        <color rgb="FF4D6361"/>
      </top>
      <bottom style="medium">
        <color indexed="64"/>
      </bottom>
      <diagonal/>
    </border>
    <border>
      <left style="thin">
        <color indexed="64"/>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dashed">
        <color rgb="FF4D6361"/>
      </left>
      <right/>
      <top/>
      <bottom/>
      <diagonal/>
    </border>
    <border>
      <left/>
      <right style="dashed">
        <color rgb="FF4D6361"/>
      </right>
      <top/>
      <bottom/>
      <diagonal/>
    </border>
    <border>
      <left/>
      <right/>
      <top style="dashed">
        <color rgb="FF4D6361"/>
      </top>
      <bottom/>
      <diagonal/>
    </border>
  </borders>
  <cellStyleXfs count="4">
    <xf numFmtId="0" fontId="0" fillId="0" borderId="0"/>
    <xf numFmtId="0" fontId="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cellStyleXfs>
  <cellXfs count="703">
    <xf numFmtId="0" fontId="0" fillId="0" borderId="0" xfId="0"/>
    <xf numFmtId="0" fontId="5" fillId="0" borderId="0" xfId="0" applyFont="1"/>
    <xf numFmtId="0" fontId="0" fillId="3" borderId="0" xfId="0" applyFill="1"/>
    <xf numFmtId="0" fontId="24" fillId="0" borderId="0" xfId="0" applyFont="1"/>
    <xf numFmtId="0" fontId="11" fillId="3" borderId="6" xfId="0" applyFont="1" applyFill="1" applyBorder="1" applyAlignment="1">
      <alignment vertical="top" wrapText="1"/>
    </xf>
    <xf numFmtId="0" fontId="11" fillId="6" borderId="6" xfId="0" applyFont="1" applyFill="1" applyBorder="1" applyAlignment="1">
      <alignment vertical="top" wrapText="1"/>
    </xf>
    <xf numFmtId="0" fontId="0" fillId="0" borderId="0" xfId="0" applyAlignment="1">
      <alignment horizontal="left" vertical="center" indent="1"/>
    </xf>
    <xf numFmtId="0" fontId="0" fillId="0" borderId="0" xfId="0" applyAlignment="1">
      <alignment wrapText="1"/>
    </xf>
    <xf numFmtId="0" fontId="11" fillId="0" borderId="0" xfId="0" applyFont="1"/>
    <xf numFmtId="0" fontId="39" fillId="2" borderId="3"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0" fillId="3" borderId="5" xfId="0" applyFill="1" applyBorder="1" applyAlignment="1">
      <alignment horizontal="center" vertical="center"/>
    </xf>
    <xf numFmtId="0" fontId="0" fillId="3" borderId="6" xfId="0" applyFill="1" applyBorder="1"/>
    <xf numFmtId="0" fontId="0" fillId="3" borderId="7" xfId="0" applyFill="1" applyBorder="1" applyAlignment="1">
      <alignment horizontal="center" vertical="center"/>
    </xf>
    <xf numFmtId="0" fontId="0" fillId="3" borderId="8" xfId="0" applyFill="1" applyBorder="1"/>
    <xf numFmtId="0" fontId="0" fillId="3" borderId="9" xfId="0" applyFill="1" applyBorder="1"/>
    <xf numFmtId="0" fontId="0" fillId="2" borderId="0" xfId="0" applyFill="1"/>
    <xf numFmtId="0" fontId="4" fillId="2" borderId="0" xfId="0" applyFont="1" applyFill="1"/>
    <xf numFmtId="0" fontId="14" fillId="15" borderId="0" xfId="0" applyFont="1" applyFill="1" applyAlignment="1">
      <alignment horizontal="center" vertical="center"/>
    </xf>
    <xf numFmtId="0" fontId="0" fillId="15" borderId="13" xfId="0" applyFill="1" applyBorder="1" applyAlignment="1">
      <alignment horizontal="center"/>
    </xf>
    <xf numFmtId="0" fontId="0" fillId="15" borderId="13" xfId="0" applyFill="1" applyBorder="1"/>
    <xf numFmtId="0" fontId="8" fillId="15" borderId="0" xfId="0" applyFont="1" applyFill="1"/>
    <xf numFmtId="0" fontId="11" fillId="15" borderId="0" xfId="0" applyFont="1" applyFill="1" applyAlignment="1">
      <alignment horizontal="center" wrapText="1"/>
    </xf>
    <xf numFmtId="0" fontId="0" fillId="15" borderId="0" xfId="0" applyFill="1"/>
    <xf numFmtId="0" fontId="17" fillId="15" borderId="0" xfId="0" applyFont="1" applyFill="1" applyAlignment="1">
      <alignment horizontal="center" vertical="center"/>
    </xf>
    <xf numFmtId="0" fontId="13" fillId="15" borderId="0" xfId="0" applyFont="1" applyFill="1" applyAlignment="1">
      <alignment horizontal="center" vertical="center"/>
    </xf>
    <xf numFmtId="0" fontId="19" fillId="15" borderId="0" xfId="0" applyFont="1" applyFill="1" applyAlignment="1">
      <alignment vertical="center" wrapText="1"/>
    </xf>
    <xf numFmtId="0" fontId="15" fillId="15" borderId="0" xfId="0" applyFont="1" applyFill="1" applyAlignment="1">
      <alignment horizontal="center" vertical="center"/>
    </xf>
    <xf numFmtId="0" fontId="23" fillId="11" borderId="61" xfId="0" applyFont="1" applyFill="1" applyBorder="1" applyAlignment="1">
      <alignment horizontal="center" vertical="center" wrapText="1"/>
    </xf>
    <xf numFmtId="0" fontId="23" fillId="11" borderId="62" xfId="0" applyFont="1" applyFill="1" applyBorder="1" applyAlignment="1">
      <alignment horizontal="center" vertical="center" wrapText="1"/>
    </xf>
    <xf numFmtId="0" fontId="23" fillId="11" borderId="0" xfId="0" applyFont="1" applyFill="1" applyAlignment="1">
      <alignment horizontal="center" vertical="center" wrapText="1"/>
    </xf>
    <xf numFmtId="0" fontId="11" fillId="15" borderId="0" xfId="0" applyFont="1" applyFill="1" applyAlignment="1">
      <alignment vertical="center" wrapText="1"/>
    </xf>
    <xf numFmtId="0" fontId="11" fillId="16" borderId="20" xfId="0" applyFont="1" applyFill="1" applyBorder="1" applyAlignment="1">
      <alignment horizontal="center" vertical="top" wrapText="1"/>
    </xf>
    <xf numFmtId="0" fontId="11" fillId="9" borderId="21" xfId="0" applyFont="1" applyFill="1" applyBorder="1" applyAlignment="1">
      <alignment horizontal="center" vertical="top" wrapText="1"/>
    </xf>
    <xf numFmtId="0" fontId="11" fillId="16" borderId="1" xfId="0" applyFont="1" applyFill="1" applyBorder="1" applyAlignment="1">
      <alignment horizontal="left" vertical="center" wrapText="1"/>
    </xf>
    <xf numFmtId="0" fontId="11" fillId="16" borderId="1" xfId="0" applyFont="1" applyFill="1" applyBorder="1" applyAlignment="1">
      <alignment vertical="center" wrapText="1"/>
    </xf>
    <xf numFmtId="0" fontId="11" fillId="17" borderId="1" xfId="0" applyFont="1" applyFill="1" applyBorder="1" applyAlignment="1">
      <alignment vertical="center"/>
    </xf>
    <xf numFmtId="0" fontId="11" fillId="16" borderId="43" xfId="0" applyFont="1" applyFill="1" applyBorder="1" applyAlignment="1">
      <alignment horizontal="center" vertical="top" wrapText="1"/>
    </xf>
    <xf numFmtId="0" fontId="11" fillId="16" borderId="1" xfId="0" applyFont="1" applyFill="1" applyBorder="1" applyAlignment="1">
      <alignment horizontal="center" vertical="top" wrapText="1"/>
    </xf>
    <xf numFmtId="0" fontId="11" fillId="16" borderId="36" xfId="0" applyFont="1" applyFill="1" applyBorder="1" applyAlignment="1">
      <alignment vertical="top" wrapText="1"/>
    </xf>
    <xf numFmtId="0" fontId="11" fillId="12" borderId="1" xfId="0" applyFont="1" applyFill="1" applyBorder="1" applyAlignment="1">
      <alignment vertical="top" wrapText="1"/>
    </xf>
    <xf numFmtId="0" fontId="11" fillId="16" borderId="1" xfId="0" applyFont="1" applyFill="1" applyBorder="1" applyAlignment="1">
      <alignment vertical="top" wrapText="1"/>
    </xf>
    <xf numFmtId="0" fontId="11" fillId="16" borderId="24" xfId="0" applyFont="1" applyFill="1" applyBorder="1" applyAlignment="1">
      <alignment vertical="top" wrapText="1"/>
    </xf>
    <xf numFmtId="0" fontId="11" fillId="16" borderId="25" xfId="0" applyFont="1" applyFill="1" applyBorder="1" applyAlignment="1">
      <alignment horizontal="center" vertical="top" wrapText="1"/>
    </xf>
    <xf numFmtId="0" fontId="11" fillId="9" borderId="1" xfId="0" applyFont="1" applyFill="1" applyBorder="1" applyAlignment="1">
      <alignment horizontal="center" vertical="top" wrapText="1"/>
    </xf>
    <xf numFmtId="0" fontId="18" fillId="16" borderId="1" xfId="0" applyFont="1" applyFill="1" applyBorder="1" applyAlignment="1">
      <alignment horizontal="center" vertical="center" wrapText="1"/>
    </xf>
    <xf numFmtId="0" fontId="11" fillId="9" borderId="26" xfId="0" applyFont="1" applyFill="1" applyBorder="1" applyAlignment="1">
      <alignment horizontal="center" vertical="top" wrapText="1"/>
    </xf>
    <xf numFmtId="0" fontId="0" fillId="15" borderId="0" xfId="0" applyFill="1" applyAlignment="1">
      <alignment horizontal="center"/>
    </xf>
    <xf numFmtId="0" fontId="8" fillId="9" borderId="61" xfId="0" applyFont="1" applyFill="1" applyBorder="1"/>
    <xf numFmtId="0" fontId="8" fillId="9" borderId="61" xfId="0" applyFont="1" applyFill="1" applyBorder="1" applyAlignment="1">
      <alignment horizontal="center"/>
    </xf>
    <xf numFmtId="0" fontId="8" fillId="9" borderId="62" xfId="0" applyFont="1" applyFill="1" applyBorder="1" applyAlignment="1">
      <alignment horizontal="center"/>
    </xf>
    <xf numFmtId="0" fontId="8" fillId="9" borderId="8" xfId="0" applyFont="1" applyFill="1" applyBorder="1"/>
    <xf numFmtId="0" fontId="11" fillId="15" borderId="8" xfId="0" applyFont="1" applyFill="1" applyBorder="1" applyAlignment="1">
      <alignment horizontal="center" vertical="top" wrapText="1"/>
    </xf>
    <xf numFmtId="0" fontId="11" fillId="15" borderId="0" xfId="0" applyFont="1" applyFill="1" applyAlignment="1">
      <alignment horizontal="center" vertical="top" wrapText="1"/>
    </xf>
    <xf numFmtId="0" fontId="0" fillId="15" borderId="0" xfId="0" applyFill="1" applyAlignment="1">
      <alignment vertical="center"/>
    </xf>
    <xf numFmtId="0" fontId="11" fillId="16" borderId="24" xfId="0" applyFont="1" applyFill="1" applyBorder="1" applyAlignment="1">
      <alignment horizontal="left" vertical="center" wrapText="1"/>
    </xf>
    <xf numFmtId="0" fontId="11" fillId="15" borderId="0" xfId="0" applyFont="1" applyFill="1" applyAlignment="1">
      <alignment vertical="center"/>
    </xf>
    <xf numFmtId="0" fontId="25" fillId="15" borderId="0" xfId="0" applyFont="1" applyFill="1" applyAlignment="1">
      <alignment vertical="center" wrapText="1"/>
    </xf>
    <xf numFmtId="0" fontId="19" fillId="15" borderId="0" xfId="0" applyFont="1" applyFill="1" applyAlignment="1">
      <alignment horizontal="center" vertical="top" wrapText="1"/>
    </xf>
    <xf numFmtId="0" fontId="19" fillId="15" borderId="0" xfId="0" applyFont="1" applyFill="1" applyAlignment="1">
      <alignment vertical="top" wrapText="1"/>
    </xf>
    <xf numFmtId="0" fontId="18" fillId="15" borderId="41" xfId="0" applyFont="1" applyFill="1" applyBorder="1" applyAlignment="1">
      <alignment horizontal="center" vertical="center" wrapText="1"/>
    </xf>
    <xf numFmtId="0" fontId="11" fillId="15" borderId="0" xfId="0" applyFont="1" applyFill="1" applyAlignment="1">
      <alignment vertical="top" wrapText="1"/>
    </xf>
    <xf numFmtId="0" fontId="22" fillId="15" borderId="0" xfId="0" applyFont="1" applyFill="1" applyAlignment="1">
      <alignment horizontal="left" vertical="center"/>
    </xf>
    <xf numFmtId="0" fontId="16" fillId="15" borderId="0" xfId="0" applyFont="1" applyFill="1" applyAlignment="1">
      <alignment horizontal="center"/>
    </xf>
    <xf numFmtId="0" fontId="20" fillId="15" borderId="0" xfId="0" applyFont="1" applyFill="1" applyAlignment="1">
      <alignment vertical="center" wrapText="1"/>
    </xf>
    <xf numFmtId="0" fontId="11" fillId="16" borderId="28" xfId="0" applyFont="1" applyFill="1" applyBorder="1" applyAlignment="1">
      <alignment horizontal="center" vertical="top" wrapText="1"/>
    </xf>
    <xf numFmtId="0" fontId="11" fillId="16" borderId="29" xfId="0" applyFont="1" applyFill="1" applyBorder="1" applyAlignment="1">
      <alignment horizontal="center" vertical="top" wrapText="1"/>
    </xf>
    <xf numFmtId="0" fontId="18" fillId="15" borderId="0" xfId="0" applyFont="1" applyFill="1" applyAlignment="1">
      <alignment horizontal="center" vertical="center" wrapText="1"/>
    </xf>
    <xf numFmtId="0" fontId="11" fillId="16" borderId="30" xfId="0" applyFont="1" applyFill="1" applyBorder="1" applyAlignment="1">
      <alignment horizontal="center" vertical="top" wrapText="1"/>
    </xf>
    <xf numFmtId="0" fontId="11" fillId="16" borderId="32" xfId="0" applyFont="1" applyFill="1" applyBorder="1" applyAlignment="1">
      <alignment horizontal="center" vertical="top" wrapText="1"/>
    </xf>
    <xf numFmtId="0" fontId="11" fillId="15" borderId="0" xfId="0" applyFont="1" applyFill="1"/>
    <xf numFmtId="0" fontId="20" fillId="16" borderId="38" xfId="0" applyFont="1" applyFill="1" applyBorder="1" applyAlignment="1">
      <alignment horizontal="center" vertical="top" wrapText="1"/>
    </xf>
    <xf numFmtId="0" fontId="29" fillId="15" borderId="0" xfId="0" applyFont="1" applyFill="1" applyAlignment="1">
      <alignment vertical="center" wrapText="1"/>
    </xf>
    <xf numFmtId="0" fontId="10" fillId="15" borderId="0" xfId="0" applyFont="1" applyFill="1"/>
    <xf numFmtId="0" fontId="11" fillId="15" borderId="0" xfId="0" applyFont="1" applyFill="1" applyAlignment="1">
      <alignment vertical="top"/>
    </xf>
    <xf numFmtId="0" fontId="19" fillId="15" borderId="0" xfId="0" applyFont="1" applyFill="1" applyAlignment="1">
      <alignment horizontal="left"/>
    </xf>
    <xf numFmtId="0" fontId="11" fillId="15" borderId="0" xfId="0" applyFont="1" applyFill="1" applyAlignment="1">
      <alignment wrapText="1"/>
    </xf>
    <xf numFmtId="0" fontId="30" fillId="15" borderId="0" xfId="0" applyFont="1" applyFill="1" applyAlignment="1">
      <alignment horizontal="left" vertical="center" wrapText="1"/>
    </xf>
    <xf numFmtId="0" fontId="7" fillId="15" borderId="0" xfId="0" applyFont="1" applyFill="1" applyAlignment="1">
      <alignment horizontal="center" vertical="center" wrapText="1"/>
    </xf>
    <xf numFmtId="0" fontId="7" fillId="7" borderId="61" xfId="0" applyFont="1" applyFill="1" applyBorder="1" applyAlignment="1">
      <alignment vertical="center"/>
    </xf>
    <xf numFmtId="0" fontId="7" fillId="7" borderId="62" xfId="0" applyFont="1" applyFill="1" applyBorder="1" applyAlignment="1">
      <alignment vertical="center"/>
    </xf>
    <xf numFmtId="0" fontId="9" fillId="7" borderId="0" xfId="0" applyFont="1" applyFill="1" applyAlignment="1">
      <alignment horizontal="left" wrapText="1"/>
    </xf>
    <xf numFmtId="0" fontId="20" fillId="16" borderId="20" xfId="0" applyFont="1" applyFill="1" applyBorder="1" applyAlignment="1">
      <alignment horizontal="center" vertical="top" wrapText="1"/>
    </xf>
    <xf numFmtId="0" fontId="28" fillId="15" borderId="0" xfId="0" applyFont="1" applyFill="1" applyAlignment="1">
      <alignment horizontal="center" vertical="center" wrapText="1"/>
    </xf>
    <xf numFmtId="0" fontId="11" fillId="16" borderId="39" xfId="0" applyFont="1" applyFill="1" applyBorder="1" applyAlignment="1">
      <alignment horizontal="center" vertical="top" wrapText="1"/>
    </xf>
    <xf numFmtId="0" fontId="27" fillId="15" borderId="0" xfId="0" applyFont="1" applyFill="1" applyAlignment="1">
      <alignment vertical="center" wrapText="1"/>
    </xf>
    <xf numFmtId="0" fontId="27" fillId="15" borderId="0" xfId="0" applyFont="1" applyFill="1" applyAlignment="1">
      <alignment horizontal="center" vertical="center" wrapText="1"/>
    </xf>
    <xf numFmtId="0" fontId="20" fillId="15" borderId="0" xfId="0" applyFont="1" applyFill="1" applyAlignment="1">
      <alignment horizontal="center" vertical="top" wrapText="1"/>
    </xf>
    <xf numFmtId="0" fontId="20" fillId="15" borderId="0" xfId="0" applyFont="1" applyFill="1" applyAlignment="1">
      <alignment vertical="top" wrapText="1"/>
    </xf>
    <xf numFmtId="0" fontId="11" fillId="19" borderId="1" xfId="0" applyFont="1" applyFill="1" applyBorder="1" applyAlignment="1">
      <alignment vertical="top" wrapText="1"/>
    </xf>
    <xf numFmtId="0" fontId="0" fillId="3" borderId="0" xfId="0" applyFill="1" applyAlignment="1">
      <alignment horizontal="center"/>
    </xf>
    <xf numFmtId="0" fontId="10" fillId="3" borderId="0" xfId="0" applyFont="1" applyFill="1"/>
    <xf numFmtId="0" fontId="0" fillId="3" borderId="40" xfId="0" applyFill="1" applyBorder="1"/>
    <xf numFmtId="0" fontId="0" fillId="3" borderId="45" xfId="0" applyFill="1" applyBorder="1"/>
    <xf numFmtId="0" fontId="0" fillId="3" borderId="15" xfId="0" applyFill="1" applyBorder="1"/>
    <xf numFmtId="0" fontId="0" fillId="3" borderId="33" xfId="0" applyFill="1" applyBorder="1"/>
    <xf numFmtId="0" fontId="42" fillId="4" borderId="53" xfId="1" applyFont="1" applyFill="1" applyBorder="1" applyAlignment="1" applyProtection="1">
      <alignment vertical="center"/>
    </xf>
    <xf numFmtId="0" fontId="42" fillId="4" borderId="54" xfId="1" applyFont="1" applyFill="1" applyBorder="1" applyAlignment="1" applyProtection="1">
      <alignment vertical="center"/>
    </xf>
    <xf numFmtId="0" fontId="0" fillId="3" borderId="17" xfId="0" applyFill="1" applyBorder="1"/>
    <xf numFmtId="0" fontId="31" fillId="3" borderId="51" xfId="0" applyFont="1" applyFill="1" applyBorder="1" applyAlignment="1">
      <alignment vertical="center"/>
    </xf>
    <xf numFmtId="0" fontId="31" fillId="3" borderId="50" xfId="0" applyFont="1" applyFill="1" applyBorder="1" applyAlignment="1">
      <alignment vertical="center"/>
    </xf>
    <xf numFmtId="0" fontId="41" fillId="3" borderId="42"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33" fillId="3" borderId="42" xfId="0" applyFont="1" applyFill="1" applyBorder="1"/>
    <xf numFmtId="0" fontId="34" fillId="3" borderId="42" xfId="0" applyFont="1" applyFill="1" applyBorder="1"/>
    <xf numFmtId="0" fontId="34" fillId="3" borderId="42" xfId="0" applyFont="1" applyFill="1" applyBorder="1" applyAlignment="1">
      <alignment horizontal="center" vertical="center"/>
    </xf>
    <xf numFmtId="9" fontId="34" fillId="3" borderId="42" xfId="0" applyNumberFormat="1" applyFont="1" applyFill="1" applyBorder="1" applyAlignment="1">
      <alignment horizontal="center" vertical="center"/>
    </xf>
    <xf numFmtId="9" fontId="33" fillId="3" borderId="0" xfId="2" applyFont="1" applyFill="1" applyBorder="1" applyAlignment="1" applyProtection="1">
      <alignment horizontal="center" vertical="center"/>
    </xf>
    <xf numFmtId="0" fontId="35" fillId="3" borderId="0" xfId="0" applyFont="1" applyFill="1" applyAlignment="1">
      <alignment horizontal="center" vertical="center" wrapText="1"/>
    </xf>
    <xf numFmtId="0" fontId="35" fillId="3" borderId="42" xfId="0" applyFont="1" applyFill="1" applyBorder="1" applyAlignment="1">
      <alignment horizontal="center" vertical="center"/>
    </xf>
    <xf numFmtId="0" fontId="31" fillId="3" borderId="55" xfId="0" applyFont="1" applyFill="1" applyBorder="1" applyAlignment="1">
      <alignment vertical="center"/>
    </xf>
    <xf numFmtId="0" fontId="31" fillId="3" borderId="63" xfId="0" applyFont="1" applyFill="1" applyBorder="1" applyAlignment="1">
      <alignment vertical="center"/>
    </xf>
    <xf numFmtId="0" fontId="35" fillId="3" borderId="63" xfId="0" applyFont="1" applyFill="1" applyBorder="1" applyAlignment="1">
      <alignment horizontal="center" vertical="center" wrapText="1"/>
    </xf>
    <xf numFmtId="0" fontId="35" fillId="3" borderId="48" xfId="0" applyFont="1" applyFill="1" applyBorder="1" applyAlignment="1">
      <alignment horizontal="center" vertical="center"/>
    </xf>
    <xf numFmtId="0" fontId="35" fillId="3" borderId="57" xfId="0" applyFont="1" applyFill="1" applyBorder="1" applyAlignment="1">
      <alignment horizontal="center" vertical="center" wrapText="1"/>
    </xf>
    <xf numFmtId="0" fontId="41" fillId="3" borderId="0" xfId="0" applyFont="1" applyFill="1" applyAlignment="1">
      <alignment horizontal="center" vertical="center" wrapText="1"/>
    </xf>
    <xf numFmtId="1" fontId="33" fillId="3" borderId="42" xfId="2" applyNumberFormat="1" applyFont="1" applyFill="1" applyBorder="1" applyAlignment="1" applyProtection="1">
      <alignment horizontal="center" vertical="center"/>
    </xf>
    <xf numFmtId="1" fontId="33" fillId="3" borderId="42" xfId="2" applyNumberFormat="1" applyFont="1" applyFill="1" applyBorder="1" applyAlignment="1" applyProtection="1">
      <alignment horizontal="center"/>
    </xf>
    <xf numFmtId="9" fontId="33" fillId="3" borderId="42" xfId="2" applyFont="1" applyFill="1" applyBorder="1" applyAlignment="1" applyProtection="1">
      <alignment horizontal="center" vertical="center"/>
    </xf>
    <xf numFmtId="0" fontId="32" fillId="3" borderId="0" xfId="0" applyFont="1" applyFill="1" applyAlignment="1">
      <alignment horizontal="center" vertical="center" wrapText="1"/>
    </xf>
    <xf numFmtId="0" fontId="33" fillId="3" borderId="50" xfId="0" applyFont="1" applyFill="1" applyBorder="1"/>
    <xf numFmtId="1" fontId="33" fillId="3" borderId="50" xfId="2" applyNumberFormat="1" applyFont="1" applyFill="1" applyBorder="1" applyAlignment="1" applyProtection="1">
      <alignment horizontal="center" vertical="center"/>
    </xf>
    <xf numFmtId="1" fontId="33" fillId="3" borderId="50" xfId="2" applyNumberFormat="1" applyFont="1" applyFill="1" applyBorder="1" applyAlignment="1" applyProtection="1">
      <alignment horizontal="center"/>
    </xf>
    <xf numFmtId="9" fontId="33" fillId="3" borderId="50" xfId="2" applyFont="1" applyFill="1" applyBorder="1" applyAlignment="1" applyProtection="1">
      <alignment horizontal="center" vertical="center"/>
    </xf>
    <xf numFmtId="0" fontId="31" fillId="3" borderId="0" xfId="0" applyFont="1" applyFill="1" applyAlignment="1">
      <alignment horizontal="left"/>
    </xf>
    <xf numFmtId="0" fontId="33" fillId="3" borderId="0" xfId="0" applyFont="1" applyFill="1" applyAlignment="1">
      <alignment horizontal="left"/>
    </xf>
    <xf numFmtId="0" fontId="0" fillId="3" borderId="38" xfId="0" applyFill="1" applyBorder="1"/>
    <xf numFmtId="0" fontId="0" fillId="3" borderId="41" xfId="0" applyFill="1" applyBorder="1"/>
    <xf numFmtId="0" fontId="0" fillId="3" borderId="19" xfId="0" applyFill="1" applyBorder="1"/>
    <xf numFmtId="0" fontId="11" fillId="16" borderId="68" xfId="0" applyFont="1" applyFill="1" applyBorder="1" applyAlignment="1">
      <alignment horizontal="left" vertical="center" wrapText="1"/>
    </xf>
    <xf numFmtId="0" fontId="23" fillId="11" borderId="0" xfId="0" applyFont="1" applyFill="1" applyAlignment="1">
      <alignment horizontal="center" vertical="center"/>
    </xf>
    <xf numFmtId="0" fontId="38" fillId="18" borderId="5" xfId="0" applyFont="1" applyFill="1" applyBorder="1" applyAlignment="1">
      <alignment horizontal="center" vertical="center" wrapText="1"/>
    </xf>
    <xf numFmtId="0" fontId="11" fillId="3" borderId="12" xfId="0" applyFont="1" applyFill="1" applyBorder="1" applyAlignment="1">
      <alignment vertical="top" wrapText="1"/>
    </xf>
    <xf numFmtId="0" fontId="24" fillId="0" borderId="6" xfId="0" applyFont="1" applyBorder="1"/>
    <xf numFmtId="0" fontId="11" fillId="6" borderId="12" xfId="0" applyFont="1" applyFill="1" applyBorder="1" applyAlignment="1">
      <alignment vertical="top" wrapText="1"/>
    </xf>
    <xf numFmtId="0" fontId="38" fillId="18" borderId="2" xfId="0" applyFont="1" applyFill="1" applyBorder="1" applyAlignment="1">
      <alignment horizontal="center" vertical="center" wrapText="1"/>
    </xf>
    <xf numFmtId="0" fontId="40" fillId="0" borderId="0" xfId="0" applyFont="1" applyAlignment="1">
      <alignment horizontal="center" vertical="center"/>
    </xf>
    <xf numFmtId="0" fontId="38" fillId="2" borderId="2"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8" fillId="18" borderId="69" xfId="0" applyFont="1" applyFill="1" applyBorder="1" applyAlignment="1">
      <alignment vertical="center" wrapText="1"/>
    </xf>
    <xf numFmtId="0" fontId="38" fillId="18" borderId="70" xfId="0" applyFont="1" applyFill="1" applyBorder="1" applyAlignment="1">
      <alignment vertical="center" wrapText="1"/>
    </xf>
    <xf numFmtId="0" fontId="38" fillId="18" borderId="70" xfId="0" applyFont="1" applyFill="1" applyBorder="1" applyAlignment="1">
      <alignment horizontal="center" vertical="center" wrapText="1"/>
    </xf>
    <xf numFmtId="0" fontId="38" fillId="18" borderId="68" xfId="0" applyFont="1" applyFill="1" applyBorder="1" applyAlignment="1">
      <alignment horizontal="center" vertical="center" wrapText="1"/>
    </xf>
    <xf numFmtId="0" fontId="11" fillId="16" borderId="11" xfId="0" applyFont="1" applyFill="1" applyBorder="1" applyAlignment="1" applyProtection="1">
      <alignment horizontal="center" vertical="center" wrapText="1"/>
      <protection locked="0"/>
    </xf>
    <xf numFmtId="0" fontId="11" fillId="16" borderId="44" xfId="0" applyFont="1" applyFill="1" applyBorder="1" applyAlignment="1" applyProtection="1">
      <alignment horizontal="center" vertical="center" wrapText="1"/>
      <protection locked="0"/>
    </xf>
    <xf numFmtId="0" fontId="11" fillId="20" borderId="1" xfId="0" applyFont="1" applyFill="1" applyBorder="1" applyAlignment="1">
      <alignment vertical="center"/>
    </xf>
    <xf numFmtId="0" fontId="0" fillId="3" borderId="59" xfId="0" applyFill="1" applyBorder="1" applyAlignment="1" applyProtection="1">
      <alignment horizontal="left" vertical="top" wrapText="1"/>
      <protection locked="0"/>
    </xf>
    <xf numFmtId="0" fontId="30" fillId="21" borderId="70" xfId="0" applyFont="1" applyFill="1" applyBorder="1" applyAlignment="1">
      <alignment horizontal="center" vertical="center" wrapText="1"/>
    </xf>
    <xf numFmtId="0" fontId="30" fillId="22" borderId="70" xfId="0" applyFont="1" applyFill="1" applyBorder="1" applyAlignment="1">
      <alignment horizontal="center" vertical="center" wrapText="1"/>
    </xf>
    <xf numFmtId="0" fontId="30" fillId="23" borderId="70" xfId="0" applyFont="1" applyFill="1" applyBorder="1" applyAlignment="1">
      <alignment horizontal="center" vertical="center" wrapText="1"/>
    </xf>
    <xf numFmtId="0" fontId="30" fillId="24" borderId="70" xfId="0" applyFont="1" applyFill="1" applyBorder="1" applyAlignment="1">
      <alignment horizontal="center" vertical="center" wrapText="1"/>
    </xf>
    <xf numFmtId="0" fontId="30" fillId="25" borderId="70" xfId="0" applyFont="1" applyFill="1" applyBorder="1" applyAlignment="1">
      <alignment horizontal="center" vertical="center" wrapText="1"/>
    </xf>
    <xf numFmtId="0" fontId="30" fillId="26" borderId="70" xfId="0" applyFont="1" applyFill="1" applyBorder="1" applyAlignment="1">
      <alignment horizontal="center" vertical="center" wrapText="1"/>
    </xf>
    <xf numFmtId="0" fontId="30" fillId="27" borderId="68" xfId="0" applyFont="1" applyFill="1" applyBorder="1" applyAlignment="1">
      <alignment horizontal="center" vertical="center" wrapText="1"/>
    </xf>
    <xf numFmtId="0" fontId="44" fillId="21" borderId="5"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3" borderId="0" xfId="0" applyFont="1" applyFill="1" applyAlignment="1">
      <alignment horizontal="center" vertical="center" wrapText="1"/>
    </xf>
    <xf numFmtId="0" fontId="44" fillId="24" borderId="0" xfId="0" applyFont="1" applyFill="1" applyAlignment="1">
      <alignment horizontal="center" vertical="center" wrapText="1"/>
    </xf>
    <xf numFmtId="0" fontId="44" fillId="25" borderId="0" xfId="0" applyFont="1" applyFill="1" applyAlignment="1">
      <alignment horizontal="center" vertical="center" wrapText="1"/>
    </xf>
    <xf numFmtId="0" fontId="44" fillId="26" borderId="0" xfId="0" applyFont="1" applyFill="1" applyAlignment="1">
      <alignment horizontal="center" vertical="center" wrapText="1"/>
    </xf>
    <xf numFmtId="0" fontId="44" fillId="27" borderId="6" xfId="0" applyFont="1" applyFill="1" applyBorder="1" applyAlignment="1">
      <alignment horizontal="center" vertical="center" wrapText="1"/>
    </xf>
    <xf numFmtId="0" fontId="43" fillId="3" borderId="0" xfId="0" applyFont="1" applyFill="1" applyAlignment="1">
      <alignment horizontal="left" wrapText="1"/>
    </xf>
    <xf numFmtId="0" fontId="13" fillId="15" borderId="0" xfId="0" applyFont="1" applyFill="1" applyAlignment="1">
      <alignment horizontal="left" vertical="center"/>
    </xf>
    <xf numFmtId="0" fontId="11" fillId="16" borderId="35" xfId="0" applyFont="1" applyFill="1" applyBorder="1" applyAlignment="1">
      <alignment horizontal="center" vertical="top" wrapText="1"/>
    </xf>
    <xf numFmtId="0" fontId="11" fillId="16" borderId="36" xfId="0" applyFont="1" applyFill="1" applyBorder="1" applyAlignment="1">
      <alignment horizontal="center" vertical="top" wrapText="1"/>
    </xf>
    <xf numFmtId="0" fontId="11" fillId="16" borderId="37" xfId="0" applyFont="1" applyFill="1" applyBorder="1" applyAlignment="1">
      <alignment horizontal="center" vertical="top" wrapText="1"/>
    </xf>
    <xf numFmtId="0" fontId="11" fillId="16" borderId="26" xfId="0" applyFont="1" applyFill="1" applyBorder="1" applyAlignment="1">
      <alignment horizontal="center" vertical="top" wrapText="1"/>
    </xf>
    <xf numFmtId="0" fontId="11" fillId="10" borderId="71" xfId="0" applyFont="1" applyFill="1" applyBorder="1" applyAlignment="1">
      <alignment horizontal="center" vertical="top" wrapText="1"/>
    </xf>
    <xf numFmtId="0" fontId="11" fillId="10" borderId="69" xfId="0" applyFont="1" applyFill="1" applyBorder="1" applyAlignment="1">
      <alignment horizontal="center" vertical="top" wrapText="1"/>
    </xf>
    <xf numFmtId="0" fontId="11" fillId="10" borderId="72" xfId="0" applyFont="1" applyFill="1" applyBorder="1" applyAlignment="1">
      <alignment horizontal="center" vertical="top" wrapText="1"/>
    </xf>
    <xf numFmtId="0" fontId="11" fillId="16" borderId="9" xfId="0" applyFont="1" applyFill="1" applyBorder="1" applyAlignment="1">
      <alignment horizontal="left" vertical="center" wrapText="1"/>
    </xf>
    <xf numFmtId="0" fontId="8" fillId="9" borderId="38" xfId="0" applyFont="1" applyFill="1" applyBorder="1"/>
    <xf numFmtId="0" fontId="8" fillId="9" borderId="41" xfId="0" applyFont="1" applyFill="1" applyBorder="1"/>
    <xf numFmtId="0" fontId="11" fillId="16" borderId="35" xfId="0" applyFont="1" applyFill="1" applyBorder="1" applyAlignment="1">
      <alignment vertical="top" wrapText="1"/>
    </xf>
    <xf numFmtId="0" fontId="11" fillId="16" borderId="21" xfId="0" applyFont="1" applyFill="1" applyBorder="1" applyAlignment="1">
      <alignment vertical="top" wrapText="1"/>
    </xf>
    <xf numFmtId="0" fontId="11" fillId="12" borderId="21" xfId="0" applyFont="1" applyFill="1" applyBorder="1" applyAlignment="1">
      <alignment vertical="top" wrapText="1"/>
    </xf>
    <xf numFmtId="0" fontId="11" fillId="16" borderId="22" xfId="0" applyFont="1" applyFill="1" applyBorder="1" applyAlignment="1">
      <alignment vertical="top" wrapText="1"/>
    </xf>
    <xf numFmtId="0" fontId="11" fillId="16" borderId="37" xfId="0" applyFont="1" applyFill="1" applyBorder="1" applyAlignment="1">
      <alignment vertical="top" wrapText="1"/>
    </xf>
    <xf numFmtId="0" fontId="11" fillId="16" borderId="26" xfId="0" applyFont="1" applyFill="1" applyBorder="1" applyAlignment="1">
      <alignment vertical="top" wrapText="1"/>
    </xf>
    <xf numFmtId="0" fontId="18" fillId="16" borderId="26" xfId="0" applyFont="1" applyFill="1" applyBorder="1" applyAlignment="1">
      <alignment horizontal="center" vertical="center" wrapText="1"/>
    </xf>
    <xf numFmtId="0" fontId="11" fillId="16" borderId="27" xfId="0" applyFont="1" applyFill="1" applyBorder="1" applyAlignment="1">
      <alignment vertical="top" wrapText="1"/>
    </xf>
    <xf numFmtId="0" fontId="20" fillId="16" borderId="25" xfId="0" applyFont="1" applyFill="1" applyBorder="1" applyAlignment="1">
      <alignment horizontal="center" vertical="top" wrapText="1"/>
    </xf>
    <xf numFmtId="0" fontId="21" fillId="16" borderId="1" xfId="0" applyFont="1" applyFill="1" applyBorder="1" applyAlignment="1">
      <alignment horizontal="center" vertical="top" wrapText="1"/>
    </xf>
    <xf numFmtId="0" fontId="11" fillId="16" borderId="21" xfId="0" applyFont="1" applyFill="1" applyBorder="1" applyAlignment="1">
      <alignment horizontal="center" vertical="top" wrapText="1"/>
    </xf>
    <xf numFmtId="0" fontId="21" fillId="16" borderId="21" xfId="0" applyFont="1" applyFill="1" applyBorder="1" applyAlignment="1">
      <alignment horizontal="center" vertical="top" wrapText="1"/>
    </xf>
    <xf numFmtId="0" fontId="21" fillId="16" borderId="26" xfId="0" applyFont="1" applyFill="1" applyBorder="1" applyAlignment="1">
      <alignment horizontal="center" vertical="top" wrapText="1"/>
    </xf>
    <xf numFmtId="0" fontId="21" fillId="16" borderId="69" xfId="0" applyFont="1" applyFill="1" applyBorder="1" applyAlignment="1">
      <alignment horizontal="center" vertical="top" wrapText="1"/>
    </xf>
    <xf numFmtId="0" fontId="21" fillId="16" borderId="71" xfId="0" applyFont="1" applyFill="1" applyBorder="1" applyAlignment="1">
      <alignment horizontal="center" vertical="top" wrapText="1"/>
    </xf>
    <xf numFmtId="0" fontId="21" fillId="16" borderId="72" xfId="0" applyFont="1" applyFill="1" applyBorder="1" applyAlignment="1">
      <alignment horizontal="center" vertical="top" wrapText="1"/>
    </xf>
    <xf numFmtId="0" fontId="20" fillId="16" borderId="1" xfId="0" applyFont="1" applyFill="1" applyBorder="1" applyAlignment="1">
      <alignment vertical="top" wrapText="1"/>
    </xf>
    <xf numFmtId="0" fontId="18" fillId="16" borderId="21" xfId="0" applyFont="1" applyFill="1" applyBorder="1" applyAlignment="1">
      <alignment horizontal="center" vertical="center" wrapText="1"/>
    </xf>
    <xf numFmtId="0" fontId="20" fillId="16" borderId="24" xfId="0" applyFont="1" applyFill="1" applyBorder="1" applyAlignment="1">
      <alignment vertical="top" wrapText="1"/>
    </xf>
    <xf numFmtId="0" fontId="20" fillId="16" borderId="21" xfId="0" applyFont="1" applyFill="1" applyBorder="1" applyAlignment="1">
      <alignment vertical="top" wrapText="1"/>
    </xf>
    <xf numFmtId="0" fontId="20" fillId="16" borderId="22" xfId="0" applyFont="1" applyFill="1" applyBorder="1" applyAlignment="1">
      <alignment vertical="top" wrapText="1"/>
    </xf>
    <xf numFmtId="0" fontId="20" fillId="16" borderId="26" xfId="0" applyFont="1" applyFill="1" applyBorder="1" applyAlignment="1">
      <alignment vertical="top" wrapText="1"/>
    </xf>
    <xf numFmtId="0" fontId="20" fillId="16" borderId="27" xfId="0" applyFont="1" applyFill="1" applyBorder="1" applyAlignment="1">
      <alignment vertical="top" wrapText="1"/>
    </xf>
    <xf numFmtId="0" fontId="11" fillId="12" borderId="26" xfId="0" applyFont="1" applyFill="1" applyBorder="1" applyAlignment="1">
      <alignment vertical="top" wrapText="1"/>
    </xf>
    <xf numFmtId="0" fontId="11" fillId="16" borderId="71" xfId="0" applyFont="1" applyFill="1" applyBorder="1" applyAlignment="1">
      <alignment horizontal="center" vertical="top" wrapText="1"/>
    </xf>
    <xf numFmtId="0" fontId="11" fillId="16" borderId="69" xfId="0" applyFont="1" applyFill="1" applyBorder="1" applyAlignment="1">
      <alignment horizontal="center" vertical="top" wrapText="1"/>
    </xf>
    <xf numFmtId="0" fontId="11" fillId="16" borderId="72" xfId="0" applyFont="1" applyFill="1" applyBorder="1" applyAlignment="1">
      <alignment horizontal="center" vertical="top" wrapText="1"/>
    </xf>
    <xf numFmtId="0" fontId="21" fillId="10" borderId="69" xfId="0" applyFont="1" applyFill="1" applyBorder="1" applyAlignment="1">
      <alignment horizontal="center" vertical="top" wrapText="1"/>
    </xf>
    <xf numFmtId="0" fontId="0" fillId="3" borderId="59" xfId="0" applyFill="1" applyBorder="1" applyAlignment="1">
      <alignment horizontal="left" vertical="top"/>
    </xf>
    <xf numFmtId="0" fontId="0" fillId="3" borderId="59" xfId="0" applyFill="1" applyBorder="1" applyAlignment="1">
      <alignment horizontal="left" vertical="top" wrapText="1"/>
    </xf>
    <xf numFmtId="0" fontId="1" fillId="3" borderId="59" xfId="1" applyFill="1" applyBorder="1" applyAlignment="1" applyProtection="1">
      <alignment horizontal="left" vertical="top"/>
    </xf>
    <xf numFmtId="0" fontId="20" fillId="16" borderId="22" xfId="0" applyFont="1" applyFill="1" applyBorder="1" applyAlignment="1">
      <alignment horizontal="center" vertical="top" wrapText="1"/>
    </xf>
    <xf numFmtId="0" fontId="44" fillId="24" borderId="8" xfId="0" applyFont="1" applyFill="1" applyBorder="1" applyAlignment="1">
      <alignment horizontal="center" vertical="center" wrapText="1"/>
    </xf>
    <xf numFmtId="0" fontId="44" fillId="27" borderId="9" xfId="0" applyFont="1" applyFill="1" applyBorder="1" applyAlignment="1">
      <alignment horizontal="center" vertical="center" wrapText="1"/>
    </xf>
    <xf numFmtId="0" fontId="44" fillId="26" borderId="8" xfId="0" applyFont="1" applyFill="1" applyBorder="1" applyAlignment="1">
      <alignment horizontal="center" vertical="center" wrapText="1"/>
    </xf>
    <xf numFmtId="0" fontId="1" fillId="3" borderId="59" xfId="1" applyFill="1" applyBorder="1" applyAlignment="1" applyProtection="1">
      <alignment horizontal="left" vertical="top" wrapText="1"/>
      <protection locked="0"/>
    </xf>
    <xf numFmtId="0" fontId="11" fillId="16" borderId="73" xfId="0" applyFont="1" applyFill="1" applyBorder="1" applyAlignment="1">
      <alignment horizontal="center" vertical="top" wrapText="1"/>
    </xf>
    <xf numFmtId="0" fontId="20" fillId="16" borderId="73" xfId="0" applyFont="1" applyFill="1" applyBorder="1" applyAlignment="1">
      <alignment horizontal="center" vertical="top" wrapText="1"/>
    </xf>
    <xf numFmtId="0" fontId="11" fillId="16" borderId="18" xfId="0" applyFont="1" applyFill="1" applyBorder="1" applyAlignment="1">
      <alignment horizontal="center" vertical="top" wrapText="1"/>
    </xf>
    <xf numFmtId="0" fontId="11" fillId="9" borderId="11" xfId="0" applyFont="1" applyFill="1" applyBorder="1" applyAlignment="1">
      <alignment horizontal="center" vertical="top" wrapText="1"/>
    </xf>
    <xf numFmtId="0" fontId="11" fillId="10" borderId="7" xfId="0" applyFont="1" applyFill="1" applyBorder="1" applyAlignment="1">
      <alignment horizontal="center" vertical="top" wrapText="1"/>
    </xf>
    <xf numFmtId="0" fontId="11" fillId="16" borderId="74" xfId="0" applyFont="1" applyFill="1" applyBorder="1" applyAlignment="1">
      <alignment vertical="top" wrapText="1"/>
    </xf>
    <xf numFmtId="0" fontId="11" fillId="16" borderId="11" xfId="0" applyFont="1" applyFill="1" applyBorder="1" applyAlignment="1">
      <alignment vertical="top" wrapText="1"/>
    </xf>
    <xf numFmtId="0" fontId="11" fillId="12" borderId="11" xfId="0" applyFont="1" applyFill="1" applyBorder="1" applyAlignment="1">
      <alignment vertical="top" wrapText="1"/>
    </xf>
    <xf numFmtId="0" fontId="11" fillId="16" borderId="44" xfId="0" applyFont="1" applyFill="1" applyBorder="1" applyAlignment="1">
      <alignment vertical="top" wrapText="1"/>
    </xf>
    <xf numFmtId="0" fontId="11" fillId="16" borderId="38" xfId="0" applyFont="1" applyFill="1" applyBorder="1" applyAlignment="1">
      <alignment horizontal="center" vertical="top" wrapText="1"/>
    </xf>
    <xf numFmtId="0" fontId="11" fillId="16" borderId="58" xfId="0" applyFont="1" applyFill="1" applyBorder="1" applyAlignment="1">
      <alignment vertical="top" wrapText="1"/>
    </xf>
    <xf numFmtId="0" fontId="11" fillId="10" borderId="22" xfId="0" applyFont="1" applyFill="1" applyBorder="1" applyAlignment="1">
      <alignment horizontal="center" vertical="top" wrapText="1"/>
    </xf>
    <xf numFmtId="0" fontId="11" fillId="9" borderId="69" xfId="0" applyFont="1" applyFill="1" applyBorder="1" applyAlignment="1">
      <alignment horizontal="center" vertical="top" wrapText="1"/>
    </xf>
    <xf numFmtId="0" fontId="11" fillId="16" borderId="68" xfId="0" applyFont="1" applyFill="1" applyBorder="1" applyAlignment="1">
      <alignment vertical="top" wrapText="1"/>
    </xf>
    <xf numFmtId="0" fontId="11" fillId="10" borderId="24" xfId="0" applyFont="1" applyFill="1" applyBorder="1" applyAlignment="1">
      <alignment horizontal="center" vertical="top" wrapText="1"/>
    </xf>
    <xf numFmtId="0" fontId="23" fillId="11" borderId="15" xfId="0" applyFont="1" applyFill="1" applyBorder="1" applyAlignment="1">
      <alignment horizontal="center" vertical="center" wrapText="1"/>
    </xf>
    <xf numFmtId="0" fontId="11" fillId="15" borderId="17" xfId="0" applyFont="1" applyFill="1" applyBorder="1" applyAlignment="1">
      <alignment wrapText="1"/>
    </xf>
    <xf numFmtId="0" fontId="47" fillId="4" borderId="52" xfId="1" applyFont="1" applyFill="1" applyBorder="1" applyAlignment="1" applyProtection="1">
      <alignment vertical="center"/>
    </xf>
    <xf numFmtId="0" fontId="20" fillId="30" borderId="1" xfId="0" applyFont="1" applyFill="1" applyBorder="1" applyAlignment="1">
      <alignment vertical="top" wrapText="1"/>
    </xf>
    <xf numFmtId="0" fontId="20" fillId="30" borderId="21" xfId="0" applyFont="1" applyFill="1" applyBorder="1" applyAlignment="1">
      <alignment vertical="top" wrapText="1"/>
    </xf>
    <xf numFmtId="0" fontId="20" fillId="30" borderId="26" xfId="0" applyFont="1" applyFill="1" applyBorder="1" applyAlignment="1">
      <alignment vertical="top" wrapText="1"/>
    </xf>
    <xf numFmtId="0" fontId="11" fillId="31" borderId="21" xfId="0" applyFont="1" applyFill="1" applyBorder="1" applyAlignment="1">
      <alignment vertical="top" wrapText="1"/>
    </xf>
    <xf numFmtId="0" fontId="0" fillId="2" borderId="0" xfId="0" applyFill="1" applyAlignment="1" applyProtection="1">
      <alignment vertical="top"/>
      <protection locked="0"/>
    </xf>
    <xf numFmtId="0" fontId="0" fillId="3" borderId="0" xfId="0" applyFill="1" applyAlignment="1">
      <alignment vertical="center"/>
    </xf>
    <xf numFmtId="0" fontId="7" fillId="32" borderId="0" xfId="0" applyFont="1" applyFill="1" applyAlignment="1">
      <alignment vertical="center"/>
    </xf>
    <xf numFmtId="0" fontId="38" fillId="12" borderId="0" xfId="0" applyFont="1" applyFill="1" applyAlignment="1">
      <alignment vertical="center"/>
    </xf>
    <xf numFmtId="0" fontId="38" fillId="30" borderId="0" xfId="0" applyFont="1" applyFill="1" applyAlignment="1">
      <alignment vertical="center"/>
    </xf>
    <xf numFmtId="0" fontId="38" fillId="31" borderId="0" xfId="0" applyFont="1" applyFill="1" applyAlignment="1">
      <alignment vertical="center"/>
    </xf>
    <xf numFmtId="0" fontId="11" fillId="16" borderId="7" xfId="0" applyFont="1" applyFill="1" applyBorder="1" applyAlignment="1" applyProtection="1">
      <alignment horizontal="center" vertical="center" wrapText="1"/>
      <protection locked="0"/>
    </xf>
    <xf numFmtId="0" fontId="11" fillId="16" borderId="22" xfId="0" applyFont="1" applyFill="1" applyBorder="1" applyAlignment="1" applyProtection="1">
      <alignment horizontal="center" vertical="center" wrapText="1"/>
      <protection locked="0"/>
    </xf>
    <xf numFmtId="0" fontId="11" fillId="20" borderId="69" xfId="0" applyFont="1" applyFill="1" applyBorder="1" applyAlignment="1">
      <alignment vertical="center"/>
    </xf>
    <xf numFmtId="0" fontId="0" fillId="15" borderId="33" xfId="0" applyFill="1" applyBorder="1"/>
    <xf numFmtId="0" fontId="11" fillId="16" borderId="66" xfId="0" applyFont="1" applyFill="1" applyBorder="1" applyAlignment="1" applyProtection="1">
      <alignment horizontal="center" vertical="center" wrapText="1"/>
      <protection locked="0"/>
    </xf>
    <xf numFmtId="0" fontId="23" fillId="32" borderId="0" xfId="0" applyFont="1" applyFill="1" applyAlignment="1">
      <alignment vertical="center"/>
    </xf>
    <xf numFmtId="0" fontId="37" fillId="12" borderId="0" xfId="0" applyFont="1" applyFill="1" applyAlignment="1">
      <alignment vertical="center" wrapText="1"/>
    </xf>
    <xf numFmtId="0" fontId="37" fillId="33" borderId="0" xfId="0" applyFont="1" applyFill="1" applyAlignment="1">
      <alignment vertical="center" wrapText="1"/>
    </xf>
    <xf numFmtId="0" fontId="37" fillId="31" borderId="0" xfId="0" applyFont="1" applyFill="1" applyAlignment="1">
      <alignment vertical="center"/>
    </xf>
    <xf numFmtId="0" fontId="17" fillId="15" borderId="0" xfId="0" applyFont="1" applyFill="1" applyAlignment="1">
      <alignment horizontal="left" vertical="center"/>
    </xf>
    <xf numFmtId="0" fontId="0" fillId="3" borderId="2"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3" borderId="0" xfId="0" applyFill="1" applyAlignment="1">
      <alignment horizontal="left" vertical="top"/>
    </xf>
    <xf numFmtId="0" fontId="22" fillId="3" borderId="0" xfId="0" applyFont="1" applyFill="1" applyAlignment="1">
      <alignment horizontal="left" vertical="top"/>
    </xf>
    <xf numFmtId="0" fontId="3" fillId="3" borderId="10" xfId="0" applyFont="1" applyFill="1" applyBorder="1" applyAlignment="1">
      <alignment horizontal="left" vertical="top"/>
    </xf>
    <xf numFmtId="0" fontId="3" fillId="3" borderId="0" xfId="0" applyFont="1" applyFill="1" applyAlignment="1">
      <alignment horizontal="left" vertical="top"/>
    </xf>
    <xf numFmtId="0" fontId="3" fillId="3" borderId="0" xfId="0" applyFont="1" applyFill="1" applyAlignment="1">
      <alignment horizontal="left" vertical="top" wrapText="1"/>
    </xf>
    <xf numFmtId="0" fontId="2" fillId="34" borderId="1" xfId="1" applyFont="1" applyFill="1" applyBorder="1" applyAlignment="1" applyProtection="1">
      <alignment horizontal="left" vertical="top" wrapText="1"/>
      <protection locked="0"/>
    </xf>
    <xf numFmtId="0" fontId="11" fillId="15" borderId="0" xfId="0" applyFont="1" applyFill="1" applyAlignment="1">
      <alignment horizontal="center" vertical="center" wrapText="1"/>
    </xf>
    <xf numFmtId="0" fontId="0" fillId="15" borderId="13" xfId="0" applyFill="1" applyBorder="1" applyAlignment="1">
      <alignment horizontal="center" vertical="center"/>
    </xf>
    <xf numFmtId="0" fontId="8" fillId="9" borderId="41" xfId="0" applyFont="1" applyFill="1" applyBorder="1" applyAlignment="1">
      <alignment horizontal="center" vertical="center"/>
    </xf>
    <xf numFmtId="0" fontId="19" fillId="15" borderId="0" xfId="0" applyFont="1" applyFill="1" applyAlignment="1">
      <alignment horizontal="center" vertical="center" wrapText="1"/>
    </xf>
    <xf numFmtId="0" fontId="11" fillId="15" borderId="0" xfId="0" applyFont="1" applyFill="1" applyAlignment="1">
      <alignment horizontal="center" vertical="center"/>
    </xf>
    <xf numFmtId="0" fontId="20" fillId="15" borderId="0" xfId="0" applyFont="1" applyFill="1" applyAlignment="1">
      <alignment horizontal="center" vertical="center" wrapText="1"/>
    </xf>
    <xf numFmtId="0" fontId="0" fillId="15" borderId="0" xfId="0" applyFill="1" applyAlignment="1">
      <alignment horizontal="center" vertical="center"/>
    </xf>
    <xf numFmtId="0" fontId="0" fillId="3" borderId="0" xfId="0" applyFill="1" applyAlignment="1">
      <alignment horizontal="center" vertical="center"/>
    </xf>
    <xf numFmtId="0" fontId="23" fillId="35" borderId="0" xfId="0" applyFont="1" applyFill="1" applyAlignment="1">
      <alignment horizontal="center" vertical="center"/>
    </xf>
    <xf numFmtId="0" fontId="7" fillId="35" borderId="0" xfId="0" applyFont="1" applyFill="1" applyAlignment="1">
      <alignment horizontal="center" vertical="center"/>
    </xf>
    <xf numFmtId="0" fontId="11" fillId="35" borderId="21" xfId="0" applyFont="1" applyFill="1" applyBorder="1" applyAlignment="1">
      <alignment horizontal="center" vertical="center" wrapText="1"/>
    </xf>
    <xf numFmtId="0" fontId="11" fillId="35" borderId="1" xfId="0" applyFont="1" applyFill="1" applyBorder="1" applyAlignment="1">
      <alignment horizontal="center" vertical="center" wrapText="1"/>
    </xf>
    <xf numFmtId="0" fontId="11" fillId="35" borderId="26" xfId="0" applyFont="1" applyFill="1" applyBorder="1" applyAlignment="1">
      <alignment horizontal="center" vertical="center" wrapText="1"/>
    </xf>
    <xf numFmtId="0" fontId="11" fillId="35" borderId="11" xfId="0" applyFont="1" applyFill="1" applyBorder="1" applyAlignment="1">
      <alignment horizontal="center" vertical="center" wrapText="1"/>
    </xf>
    <xf numFmtId="0" fontId="50" fillId="0" borderId="59" xfId="0" applyFont="1" applyBorder="1" applyAlignment="1" applyProtection="1">
      <alignment horizontal="left" vertical="top" wrapText="1"/>
      <protection locked="0"/>
    </xf>
    <xf numFmtId="0" fontId="0" fillId="36" borderId="59" xfId="0" applyFill="1" applyBorder="1" applyAlignment="1" applyProtection="1">
      <alignment horizontal="left" vertical="top" wrapText="1"/>
      <protection locked="0"/>
    </xf>
    <xf numFmtId="0" fontId="0" fillId="28" borderId="0" xfId="0" applyFill="1" applyAlignment="1">
      <alignment vertical="top" wrapText="1"/>
    </xf>
    <xf numFmtId="0" fontId="23" fillId="11" borderId="60" xfId="0" applyFont="1" applyFill="1" applyBorder="1" applyAlignment="1">
      <alignment horizontal="center" vertical="center" wrapText="1"/>
    </xf>
    <xf numFmtId="0" fontId="7" fillId="7" borderId="40" xfId="0" applyFont="1" applyFill="1" applyBorder="1" applyAlignment="1">
      <alignment horizontal="center" vertical="center"/>
    </xf>
    <xf numFmtId="0" fontId="0" fillId="0" borderId="0" xfId="0" applyAlignment="1">
      <alignment vertical="top" wrapText="1"/>
    </xf>
    <xf numFmtId="0" fontId="22" fillId="0" borderId="0" xfId="0" applyFont="1" applyAlignment="1">
      <alignment vertical="top" wrapText="1"/>
    </xf>
    <xf numFmtId="0" fontId="15" fillId="5" borderId="80" xfId="0" applyFont="1" applyFill="1" applyBorder="1" applyAlignment="1">
      <alignment vertical="top" wrapText="1"/>
    </xf>
    <xf numFmtId="0" fontId="15" fillId="5" borderId="81" xfId="0" applyFont="1" applyFill="1" applyBorder="1" applyAlignment="1">
      <alignment vertical="top" wrapText="1"/>
    </xf>
    <xf numFmtId="0" fontId="0" fillId="3" borderId="81" xfId="0" applyFill="1" applyBorder="1" applyAlignment="1">
      <alignment vertical="top" wrapText="1"/>
    </xf>
    <xf numFmtId="0" fontId="8" fillId="2" borderId="59" xfId="0" applyFont="1" applyFill="1" applyBorder="1" applyAlignment="1">
      <alignment vertical="top" wrapText="1"/>
    </xf>
    <xf numFmtId="0" fontId="8" fillId="0" borderId="0" xfId="0" applyFont="1" applyAlignment="1">
      <alignment vertical="top" wrapText="1"/>
    </xf>
    <xf numFmtId="0" fontId="15" fillId="5" borderId="0" xfId="0" applyFont="1" applyFill="1" applyAlignment="1">
      <alignment vertical="top" wrapText="1"/>
    </xf>
    <xf numFmtId="0" fontId="0" fillId="0" borderId="0" xfId="0" applyAlignment="1">
      <alignment vertical="top"/>
    </xf>
    <xf numFmtId="0" fontId="0" fillId="0" borderId="74" xfId="0" applyBorder="1" applyAlignment="1">
      <alignment vertical="top" wrapText="1"/>
    </xf>
    <xf numFmtId="0" fontId="0" fillId="0" borderId="11" xfId="0" applyBorder="1" applyAlignment="1">
      <alignment vertical="top" wrapText="1"/>
    </xf>
    <xf numFmtId="0" fontId="0" fillId="0" borderId="44" xfId="0" applyBorder="1" applyAlignment="1">
      <alignment vertical="top" wrapText="1"/>
    </xf>
    <xf numFmtId="0" fontId="0" fillId="3" borderId="11" xfId="0" applyFill="1" applyBorder="1" applyAlignment="1">
      <alignment vertical="top" wrapText="1"/>
    </xf>
    <xf numFmtId="0" fontId="0" fillId="2" borderId="82" xfId="0" applyFill="1" applyBorder="1" applyAlignment="1">
      <alignment vertical="top" wrapText="1"/>
    </xf>
    <xf numFmtId="0" fontId="0" fillId="3" borderId="0" xfId="0" applyFill="1" applyAlignment="1">
      <alignment vertical="top" wrapText="1"/>
    </xf>
    <xf numFmtId="0" fontId="8" fillId="12" borderId="0" xfId="0" applyFont="1" applyFill="1" applyAlignment="1">
      <alignment vertical="top" wrapText="1"/>
    </xf>
    <xf numFmtId="0" fontId="1" fillId="3" borderId="0" xfId="1" applyFill="1" applyAlignment="1">
      <alignment vertical="top" wrapText="1"/>
    </xf>
    <xf numFmtId="0" fontId="0" fillId="0" borderId="36" xfId="0" applyBorder="1" applyAlignment="1">
      <alignment vertical="top" wrapText="1"/>
    </xf>
    <xf numFmtId="0" fontId="0" fillId="0" borderId="1" xfId="0" applyBorder="1" applyAlignment="1">
      <alignment vertical="top" wrapText="1"/>
    </xf>
    <xf numFmtId="0" fontId="0" fillId="0" borderId="24" xfId="0" applyBorder="1" applyAlignment="1">
      <alignment vertical="top" wrapText="1"/>
    </xf>
    <xf numFmtId="0" fontId="0" fillId="3" borderId="1" xfId="0" applyFill="1" applyBorder="1" applyAlignment="1">
      <alignment vertical="top" wrapText="1"/>
    </xf>
    <xf numFmtId="0" fontId="0" fillId="2" borderId="83" xfId="0" applyFill="1" applyBorder="1" applyAlignment="1">
      <alignment vertical="top" wrapText="1"/>
    </xf>
    <xf numFmtId="0" fontId="0" fillId="6" borderId="0" xfId="0" applyFill="1" applyAlignment="1">
      <alignment vertical="top" wrapText="1"/>
    </xf>
    <xf numFmtId="0" fontId="1" fillId="6" borderId="0" xfId="1" applyFill="1" applyAlignment="1">
      <alignment vertical="top" wrapText="1"/>
    </xf>
    <xf numFmtId="0" fontId="8" fillId="6" borderId="0" xfId="0" applyFont="1" applyFill="1" applyAlignment="1">
      <alignment vertical="top" wrapText="1"/>
    </xf>
    <xf numFmtId="0" fontId="8" fillId="3" borderId="0" xfId="0" applyFont="1" applyFill="1" applyAlignment="1">
      <alignment vertical="top" wrapText="1"/>
    </xf>
    <xf numFmtId="0" fontId="46" fillId="6" borderId="0" xfId="0" applyFont="1" applyFill="1" applyAlignment="1">
      <alignment vertical="top" wrapText="1"/>
    </xf>
    <xf numFmtId="0" fontId="46" fillId="3" borderId="0" xfId="0" applyFont="1" applyFill="1" applyAlignment="1">
      <alignment vertical="top" wrapText="1"/>
    </xf>
    <xf numFmtId="0" fontId="1" fillId="0" borderId="0" xfId="1" applyAlignment="1">
      <alignment vertical="top" wrapText="1"/>
    </xf>
    <xf numFmtId="0" fontId="0" fillId="29" borderId="0" xfId="0" applyFill="1" applyAlignment="1">
      <alignment vertical="top" wrapText="1"/>
    </xf>
    <xf numFmtId="0" fontId="38" fillId="6" borderId="0" xfId="0" applyFont="1" applyFill="1" applyAlignment="1">
      <alignment vertical="top" wrapText="1"/>
    </xf>
    <xf numFmtId="0" fontId="38" fillId="3" borderId="0" xfId="0" applyFont="1" applyFill="1" applyAlignment="1">
      <alignment vertical="top" wrapText="1"/>
    </xf>
    <xf numFmtId="0" fontId="8" fillId="33" borderId="0" xfId="0" applyFont="1" applyFill="1" applyAlignment="1">
      <alignment vertical="top" wrapText="1"/>
    </xf>
    <xf numFmtId="0" fontId="1" fillId="0" borderId="0" xfId="1" applyFill="1" applyAlignment="1">
      <alignment vertical="top" wrapText="1"/>
    </xf>
    <xf numFmtId="0" fontId="38" fillId="33" borderId="0" xfId="0" applyFont="1" applyFill="1" applyAlignment="1">
      <alignment vertical="top" wrapText="1"/>
    </xf>
    <xf numFmtId="0" fontId="11" fillId="16" borderId="0" xfId="0" applyFont="1" applyFill="1" applyAlignment="1">
      <alignment horizontal="center" vertical="top" wrapText="1"/>
    </xf>
    <xf numFmtId="0" fontId="11" fillId="16" borderId="38" xfId="0" applyFont="1" applyFill="1" applyBorder="1" applyAlignment="1">
      <alignment vertical="top" wrapText="1"/>
    </xf>
    <xf numFmtId="0" fontId="11" fillId="16" borderId="41" xfId="0" applyFont="1" applyFill="1" applyBorder="1" applyAlignment="1">
      <alignment vertical="top" wrapText="1"/>
    </xf>
    <xf numFmtId="0" fontId="11" fillId="35" borderId="41" xfId="0" applyFont="1" applyFill="1" applyBorder="1" applyAlignment="1">
      <alignment horizontal="center" vertical="center" wrapText="1"/>
    </xf>
    <xf numFmtId="0" fontId="11" fillId="16" borderId="26" xfId="0" applyFont="1" applyFill="1" applyBorder="1" applyAlignment="1">
      <alignment horizontal="center" vertical="center" wrapText="1"/>
    </xf>
    <xf numFmtId="0" fontId="8" fillId="12" borderId="23" xfId="0" applyFont="1" applyFill="1" applyBorder="1" applyAlignment="1">
      <alignment vertical="top" wrapText="1"/>
    </xf>
    <xf numFmtId="0" fontId="0" fillId="15" borderId="0" xfId="0" applyFill="1" applyAlignment="1">
      <alignment wrapText="1"/>
    </xf>
    <xf numFmtId="0" fontId="44" fillId="0" borderId="5" xfId="0" applyFont="1" applyBorder="1" applyAlignment="1">
      <alignment horizontal="center" vertical="center" wrapText="1"/>
    </xf>
    <xf numFmtId="0" fontId="44" fillId="0" borderId="0" xfId="0" applyFont="1" applyAlignment="1">
      <alignment horizontal="center" vertical="center" wrapText="1"/>
    </xf>
    <xf numFmtId="0" fontId="44" fillId="0" borderId="8"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11" fillId="16" borderId="0" xfId="0" applyFont="1" applyFill="1" applyAlignment="1">
      <alignment horizontal="left" vertical="center" wrapText="1"/>
    </xf>
    <xf numFmtId="0" fontId="0" fillId="3" borderId="0" xfId="0" applyFill="1" applyAlignment="1" applyProtection="1">
      <alignment horizontal="left" vertical="top" wrapText="1"/>
      <protection locked="0"/>
    </xf>
    <xf numFmtId="0" fontId="44" fillId="3" borderId="5" xfId="0" applyFont="1" applyFill="1" applyBorder="1" applyAlignment="1">
      <alignment horizontal="center" vertical="center" wrapText="1"/>
    </xf>
    <xf numFmtId="0" fontId="11" fillId="3" borderId="0" xfId="0" applyFont="1" applyFill="1"/>
    <xf numFmtId="0" fontId="44" fillId="3" borderId="0" xfId="0" applyFont="1" applyFill="1" applyAlignment="1">
      <alignment horizontal="center" vertical="center" wrapText="1"/>
    </xf>
    <xf numFmtId="0" fontId="24" fillId="3" borderId="0" xfId="0" applyFont="1" applyFill="1"/>
    <xf numFmtId="0" fontId="40" fillId="3" borderId="0" xfId="0" applyFont="1" applyFill="1" applyAlignment="1">
      <alignment horizontal="center" vertical="center"/>
    </xf>
    <xf numFmtId="0" fontId="23" fillId="11" borderId="45" xfId="0" applyFont="1" applyFill="1" applyBorder="1" applyAlignment="1">
      <alignment horizontal="center" vertical="center" wrapText="1"/>
    </xf>
    <xf numFmtId="0" fontId="7" fillId="7" borderId="0" xfId="0" applyFont="1" applyFill="1" applyAlignment="1">
      <alignment horizontal="center" vertical="center"/>
    </xf>
    <xf numFmtId="0" fontId="53" fillId="0" borderId="0" xfId="0" applyFont="1" applyAlignment="1">
      <alignment vertical="top"/>
    </xf>
    <xf numFmtId="0" fontId="23" fillId="11" borderId="40" xfId="0" applyFont="1" applyFill="1" applyBorder="1" applyAlignment="1">
      <alignment vertical="center" wrapText="1"/>
    </xf>
    <xf numFmtId="0" fontId="23" fillId="11" borderId="45" xfId="0" applyFont="1" applyFill="1" applyBorder="1" applyAlignment="1">
      <alignment vertical="center" wrapText="1"/>
    </xf>
    <xf numFmtId="0" fontId="23" fillId="11" borderId="15" xfId="0" applyFont="1" applyFill="1" applyBorder="1" applyAlignment="1">
      <alignment vertical="center" wrapText="1"/>
    </xf>
    <xf numFmtId="0" fontId="23" fillId="11" borderId="61" xfId="0" applyFont="1" applyFill="1" applyBorder="1" applyAlignment="1">
      <alignment vertical="center" wrapText="1"/>
    </xf>
    <xf numFmtId="0" fontId="7" fillId="7" borderId="45" xfId="0" applyFont="1" applyFill="1" applyBorder="1" applyAlignment="1">
      <alignment vertical="center"/>
    </xf>
    <xf numFmtId="0" fontId="23" fillId="11" borderId="60" xfId="0" applyFont="1" applyFill="1" applyBorder="1" applyAlignment="1">
      <alignment vertical="center" wrapText="1"/>
    </xf>
    <xf numFmtId="0" fontId="7" fillId="7" borderId="40" xfId="0" applyFont="1" applyFill="1" applyBorder="1" applyAlignment="1">
      <alignment vertical="center"/>
    </xf>
    <xf numFmtId="0" fontId="7" fillId="7" borderId="33" xfId="0" applyFont="1" applyFill="1" applyBorder="1" applyAlignment="1">
      <alignment vertical="center"/>
    </xf>
    <xf numFmtId="0" fontId="7" fillId="7" borderId="0" xfId="0" applyFont="1" applyFill="1" applyAlignment="1">
      <alignment vertical="center"/>
    </xf>
    <xf numFmtId="0" fontId="0" fillId="0" borderId="1" xfId="0" applyBorder="1" applyAlignment="1">
      <alignment horizontal="left" vertical="top" wrapText="1"/>
    </xf>
    <xf numFmtId="0" fontId="33" fillId="3" borderId="0" xfId="0" applyFont="1" applyFill="1"/>
    <xf numFmtId="0" fontId="33" fillId="3" borderId="84" xfId="0" applyFont="1" applyFill="1" applyBorder="1"/>
    <xf numFmtId="0" fontId="31" fillId="3" borderId="0" xfId="0" applyFont="1" applyFill="1" applyAlignment="1">
      <alignment vertical="center"/>
    </xf>
    <xf numFmtId="0" fontId="30" fillId="21" borderId="70" xfId="0" applyFont="1" applyFill="1" applyBorder="1" applyAlignment="1">
      <alignment horizontal="center" vertical="top" wrapText="1"/>
    </xf>
    <xf numFmtId="0" fontId="30" fillId="22" borderId="70" xfId="0" applyFont="1" applyFill="1" applyBorder="1" applyAlignment="1">
      <alignment horizontal="center" vertical="top" wrapText="1"/>
    </xf>
    <xf numFmtId="0" fontId="30" fillId="23" borderId="70" xfId="0" applyFont="1" applyFill="1" applyBorder="1" applyAlignment="1">
      <alignment horizontal="center" vertical="top" wrapText="1"/>
    </xf>
    <xf numFmtId="0" fontId="30" fillId="24" borderId="70" xfId="0" applyFont="1" applyFill="1" applyBorder="1" applyAlignment="1">
      <alignment horizontal="center" vertical="top" wrapText="1"/>
    </xf>
    <xf numFmtId="0" fontId="30" fillId="25" borderId="70" xfId="0" applyFont="1" applyFill="1" applyBorder="1" applyAlignment="1">
      <alignment horizontal="center" vertical="top" wrapText="1"/>
    </xf>
    <xf numFmtId="0" fontId="30" fillId="26" borderId="70" xfId="0" applyFont="1" applyFill="1" applyBorder="1" applyAlignment="1">
      <alignment horizontal="center" vertical="top" wrapText="1"/>
    </xf>
    <xf numFmtId="0" fontId="35" fillId="3" borderId="0" xfId="0" applyFont="1" applyFill="1" applyAlignment="1">
      <alignment horizontal="center" vertical="center"/>
    </xf>
    <xf numFmtId="1" fontId="33" fillId="3" borderId="0" xfId="2" applyNumberFormat="1" applyFont="1" applyFill="1" applyBorder="1" applyAlignment="1" applyProtection="1">
      <alignment horizontal="center"/>
    </xf>
    <xf numFmtId="1" fontId="33" fillId="3" borderId="0" xfId="2" applyNumberFormat="1" applyFont="1" applyFill="1" applyBorder="1" applyAlignment="1" applyProtection="1">
      <alignment horizontal="center" vertical="center"/>
    </xf>
    <xf numFmtId="0" fontId="31" fillId="3" borderId="86" xfId="0" applyFont="1" applyFill="1" applyBorder="1" applyAlignment="1">
      <alignment vertical="center"/>
    </xf>
    <xf numFmtId="0" fontId="31" fillId="3" borderId="88" xfId="0" applyFont="1" applyFill="1" applyBorder="1" applyAlignment="1">
      <alignment vertical="center"/>
    </xf>
    <xf numFmtId="0" fontId="35" fillId="3" borderId="89" xfId="0" applyFont="1" applyFill="1" applyBorder="1" applyAlignment="1">
      <alignment horizontal="center" vertical="center" wrapText="1"/>
    </xf>
    <xf numFmtId="0" fontId="33" fillId="3" borderId="88" xfId="0" applyFont="1" applyFill="1" applyBorder="1"/>
    <xf numFmtId="9" fontId="33" fillId="3" borderId="89" xfId="2" applyFont="1" applyFill="1" applyBorder="1" applyAlignment="1" applyProtection="1">
      <alignment horizontal="center" vertical="center"/>
    </xf>
    <xf numFmtId="0" fontId="0" fillId="3" borderId="88" xfId="0" applyFill="1" applyBorder="1"/>
    <xf numFmtId="0" fontId="0" fillId="3" borderId="89" xfId="0" applyFill="1" applyBorder="1"/>
    <xf numFmtId="0" fontId="0" fillId="3" borderId="85" xfId="0" applyFill="1" applyBorder="1"/>
    <xf numFmtId="0" fontId="0" fillId="3" borderId="86" xfId="0" applyFill="1" applyBorder="1"/>
    <xf numFmtId="0" fontId="0" fillId="3" borderId="87" xfId="0" applyFill="1" applyBorder="1"/>
    <xf numFmtId="0" fontId="0" fillId="3" borderId="90" xfId="0" applyFill="1" applyBorder="1"/>
    <xf numFmtId="0" fontId="0" fillId="3" borderId="91" xfId="0" applyFill="1" applyBorder="1"/>
    <xf numFmtId="0" fontId="0" fillId="3" borderId="92" xfId="0" applyFill="1" applyBorder="1"/>
    <xf numFmtId="0" fontId="0" fillId="0" borderId="17" xfId="0" applyBorder="1" applyAlignment="1">
      <alignment vertical="top" wrapText="1"/>
    </xf>
    <xf numFmtId="0" fontId="0" fillId="0" borderId="19" xfId="0" applyBorder="1" applyAlignment="1">
      <alignment vertical="top" wrapText="1"/>
    </xf>
    <xf numFmtId="0" fontId="15" fillId="5" borderId="94" xfId="0" applyFont="1" applyFill="1" applyBorder="1" applyAlignment="1">
      <alignment vertical="top" wrapText="1"/>
    </xf>
    <xf numFmtId="0" fontId="37" fillId="3" borderId="84" xfId="0" applyFont="1" applyFill="1" applyBorder="1" applyAlignment="1">
      <alignment vertical="top"/>
    </xf>
    <xf numFmtId="0" fontId="37" fillId="3" borderId="93" xfId="0" applyFont="1" applyFill="1" applyBorder="1" applyAlignment="1">
      <alignment vertical="top"/>
    </xf>
    <xf numFmtId="0" fontId="47" fillId="4" borderId="0" xfId="1" applyFont="1" applyFill="1" applyBorder="1" applyAlignment="1" applyProtection="1">
      <alignment vertical="center"/>
    </xf>
    <xf numFmtId="0" fontId="42" fillId="4" borderId="0" xfId="1" applyFont="1" applyFill="1" applyBorder="1" applyAlignment="1" applyProtection="1">
      <alignment vertical="center"/>
    </xf>
    <xf numFmtId="0" fontId="31" fillId="3" borderId="95" xfId="0" applyFont="1" applyFill="1" applyBorder="1" applyAlignment="1">
      <alignment vertical="center"/>
    </xf>
    <xf numFmtId="0" fontId="33" fillId="3" borderId="95" xfId="0" applyFont="1" applyFill="1" applyBorder="1"/>
    <xf numFmtId="0" fontId="0" fillId="0" borderId="59" xfId="0" applyBorder="1" applyAlignment="1" applyProtection="1">
      <alignment horizontal="left" vertical="top" wrapText="1"/>
      <protection locked="0"/>
    </xf>
    <xf numFmtId="0" fontId="20" fillId="31" borderId="1" xfId="0" applyFont="1" applyFill="1" applyBorder="1" applyAlignment="1">
      <alignment vertical="top" wrapText="1"/>
    </xf>
    <xf numFmtId="0" fontId="11" fillId="31" borderId="1" xfId="0" applyFont="1" applyFill="1" applyBorder="1" applyAlignment="1">
      <alignment vertical="top" wrapText="1"/>
    </xf>
    <xf numFmtId="0" fontId="20" fillId="31" borderId="26" xfId="0" applyFont="1" applyFill="1" applyBorder="1" applyAlignment="1">
      <alignment vertical="top" wrapText="1"/>
    </xf>
    <xf numFmtId="0" fontId="20" fillId="31" borderId="21" xfId="0" applyFont="1" applyFill="1" applyBorder="1" applyAlignment="1">
      <alignment vertical="top" wrapText="1"/>
    </xf>
    <xf numFmtId="0" fontId="11" fillId="0" borderId="6" xfId="0" applyFont="1" applyBorder="1" applyAlignment="1">
      <alignment vertical="top" wrapText="1"/>
    </xf>
    <xf numFmtId="0" fontId="11" fillId="0" borderId="12" xfId="0" applyFont="1" applyBorder="1" applyAlignment="1">
      <alignment vertical="top" wrapText="1"/>
    </xf>
    <xf numFmtId="0" fontId="0" fillId="0" borderId="6" xfId="0" applyBorder="1"/>
    <xf numFmtId="0" fontId="11" fillId="31" borderId="24" xfId="0" applyFont="1" applyFill="1" applyBorder="1" applyAlignment="1">
      <alignment vertical="top" wrapText="1"/>
    </xf>
    <xf numFmtId="0" fontId="54" fillId="16" borderId="1" xfId="0" applyFont="1" applyFill="1" applyBorder="1" applyAlignment="1">
      <alignment vertical="top" wrapText="1"/>
    </xf>
    <xf numFmtId="0" fontId="11" fillId="16" borderId="24" xfId="0" applyFont="1" applyFill="1" applyBorder="1" applyAlignment="1" applyProtection="1">
      <alignment horizontal="center" vertical="center" wrapText="1"/>
      <protection locked="0"/>
    </xf>
    <xf numFmtId="0" fontId="11" fillId="16" borderId="74" xfId="0" applyFont="1" applyFill="1" applyBorder="1" applyAlignment="1">
      <alignment horizontal="center" vertical="top" wrapText="1"/>
    </xf>
    <xf numFmtId="0" fontId="11" fillId="16" borderId="11" xfId="0" applyFont="1" applyFill="1" applyBorder="1" applyAlignment="1">
      <alignment horizontal="left" vertical="center" wrapText="1"/>
    </xf>
    <xf numFmtId="0" fontId="11" fillId="16" borderId="11" xfId="0" applyFont="1" applyFill="1" applyBorder="1" applyAlignment="1">
      <alignment vertical="center" wrapText="1"/>
    </xf>
    <xf numFmtId="0" fontId="11" fillId="17" borderId="11" xfId="0" applyFont="1" applyFill="1" applyBorder="1" applyAlignment="1">
      <alignment vertical="center"/>
    </xf>
    <xf numFmtId="0" fontId="0" fillId="0" borderId="96" xfId="0" applyBorder="1" applyAlignment="1" applyProtection="1">
      <alignment horizontal="left" vertical="top" wrapText="1"/>
      <protection locked="0"/>
    </xf>
    <xf numFmtId="0" fontId="0" fillId="0" borderId="8" xfId="0" applyBorder="1"/>
    <xf numFmtId="0" fontId="55" fillId="15" borderId="0" xfId="0" applyFont="1" applyFill="1" applyAlignment="1">
      <alignment horizontal="left" vertical="center"/>
    </xf>
    <xf numFmtId="0" fontId="56" fillId="7" borderId="61" xfId="0" applyFont="1" applyFill="1" applyBorder="1" applyAlignment="1">
      <alignment vertical="center"/>
    </xf>
    <xf numFmtId="0" fontId="56" fillId="7" borderId="62" xfId="0" applyFont="1" applyFill="1" applyBorder="1" applyAlignment="1">
      <alignment vertical="center"/>
    </xf>
    <xf numFmtId="0" fontId="24" fillId="15" borderId="0" xfId="0" applyFont="1" applyFill="1" applyAlignment="1">
      <alignment horizontal="left" vertical="center"/>
    </xf>
    <xf numFmtId="0" fontId="0" fillId="3" borderId="0" xfId="0" applyFill="1" applyAlignment="1">
      <alignment wrapText="1"/>
    </xf>
    <xf numFmtId="0" fontId="54" fillId="31" borderId="26" xfId="0" applyFont="1" applyFill="1" applyBorder="1" applyAlignment="1">
      <alignment vertical="top" wrapText="1"/>
    </xf>
    <xf numFmtId="0" fontId="11" fillId="31" borderId="1" xfId="0" applyFont="1" applyFill="1" applyBorder="1" applyAlignment="1">
      <alignment horizontal="left" vertical="top" wrapText="1"/>
    </xf>
    <xf numFmtId="0" fontId="20" fillId="31" borderId="1" xfId="1" applyFont="1" applyFill="1" applyBorder="1" applyAlignment="1" applyProtection="1">
      <alignment horizontal="left" vertical="top" wrapText="1"/>
    </xf>
    <xf numFmtId="0" fontId="11" fillId="3" borderId="0" xfId="0" applyFont="1" applyFill="1" applyAlignment="1">
      <alignment wrapText="1"/>
    </xf>
    <xf numFmtId="0" fontId="57" fillId="31" borderId="1" xfId="1" applyFont="1" applyFill="1" applyBorder="1" applyAlignment="1">
      <alignment horizontal="left" vertical="top" wrapText="1"/>
    </xf>
    <xf numFmtId="0" fontId="58" fillId="4" borderId="0" xfId="1" applyFont="1" applyFill="1" applyBorder="1" applyAlignment="1" applyProtection="1">
      <alignment vertical="center"/>
    </xf>
    <xf numFmtId="0" fontId="11" fillId="16" borderId="69" xfId="0" applyFont="1" applyFill="1" applyBorder="1" applyAlignment="1">
      <alignment vertical="top" wrapText="1"/>
    </xf>
    <xf numFmtId="0" fontId="11" fillId="16" borderId="97" xfId="0" applyFont="1" applyFill="1" applyBorder="1" applyAlignment="1">
      <alignment vertical="top" wrapText="1"/>
    </xf>
    <xf numFmtId="0" fontId="54" fillId="31" borderId="1" xfId="0" applyFont="1" applyFill="1" applyBorder="1" applyAlignment="1">
      <alignment vertical="top" wrapText="1"/>
    </xf>
    <xf numFmtId="0" fontId="8" fillId="9" borderId="98" xfId="0" applyFont="1" applyFill="1" applyBorder="1"/>
    <xf numFmtId="0" fontId="11" fillId="31" borderId="11" xfId="0" applyFont="1" applyFill="1" applyBorder="1" applyAlignment="1">
      <alignment horizontal="left" vertical="top" wrapText="1"/>
    </xf>
    <xf numFmtId="0" fontId="11" fillId="15" borderId="70" xfId="0" applyFont="1" applyFill="1" applyBorder="1" applyAlignment="1">
      <alignment wrapText="1"/>
    </xf>
    <xf numFmtId="0" fontId="1" fillId="3" borderId="0" xfId="1" applyFill="1" applyAlignment="1">
      <alignment horizontal="left" vertical="top"/>
    </xf>
    <xf numFmtId="0" fontId="1" fillId="3" borderId="0" xfId="1" applyFill="1" applyAlignment="1">
      <alignment horizontal="left" vertical="top" wrapText="1"/>
    </xf>
    <xf numFmtId="0" fontId="11" fillId="16" borderId="6" xfId="0" applyFont="1" applyFill="1" applyBorder="1" applyAlignment="1">
      <alignment horizontal="left" vertical="center" wrapText="1"/>
    </xf>
    <xf numFmtId="0" fontId="11" fillId="16" borderId="10" xfId="0" applyFont="1" applyFill="1" applyBorder="1" applyAlignment="1">
      <alignment vertical="center" wrapText="1"/>
    </xf>
    <xf numFmtId="0" fontId="11" fillId="17" borderId="10" xfId="0" applyFont="1" applyFill="1" applyBorder="1" applyAlignment="1">
      <alignment vertical="center"/>
    </xf>
    <xf numFmtId="0" fontId="0" fillId="15" borderId="60" xfId="0" applyFill="1" applyBorder="1"/>
    <xf numFmtId="0" fontId="0" fillId="15" borderId="61" xfId="0" applyFill="1" applyBorder="1"/>
    <xf numFmtId="0" fontId="0" fillId="15" borderId="62" xfId="0" applyFill="1" applyBorder="1"/>
    <xf numFmtId="0" fontId="11" fillId="16" borderId="96" xfId="0" applyFont="1" applyFill="1" applyBorder="1" applyAlignment="1" applyProtection="1">
      <alignment horizontal="center" vertical="center" wrapText="1"/>
      <protection locked="0"/>
    </xf>
    <xf numFmtId="0" fontId="18" fillId="15" borderId="61" xfId="0" applyFont="1" applyFill="1" applyBorder="1" applyAlignment="1">
      <alignment horizontal="center" vertical="center" wrapText="1"/>
    </xf>
    <xf numFmtId="0" fontId="11" fillId="16" borderId="8" xfId="0" applyFont="1" applyFill="1" applyBorder="1" applyAlignment="1">
      <alignment horizontal="left" vertical="center" wrapText="1"/>
    </xf>
    <xf numFmtId="0" fontId="11" fillId="16" borderId="99" xfId="0" applyFont="1" applyFill="1" applyBorder="1" applyAlignment="1" applyProtection="1">
      <alignment horizontal="center" vertical="center" wrapText="1"/>
      <protection locked="0"/>
    </xf>
    <xf numFmtId="0" fontId="11" fillId="16" borderId="40" xfId="0" applyFont="1" applyFill="1" applyBorder="1" applyAlignment="1">
      <alignment horizontal="left" vertical="center" wrapText="1"/>
    </xf>
    <xf numFmtId="0" fontId="11" fillId="16" borderId="70" xfId="0" applyFont="1" applyFill="1" applyBorder="1" applyAlignment="1">
      <alignment horizontal="left" vertical="center" wrapText="1"/>
    </xf>
    <xf numFmtId="0" fontId="11" fillId="16" borderId="83" xfId="0" applyFont="1" applyFill="1" applyBorder="1" applyAlignment="1" applyProtection="1">
      <alignment horizontal="center" vertical="center" wrapText="1"/>
      <protection locked="0"/>
    </xf>
    <xf numFmtId="0" fontId="19" fillId="16" borderId="27" xfId="0" applyFont="1" applyFill="1" applyBorder="1" applyAlignment="1">
      <alignment vertical="top" wrapText="1"/>
    </xf>
    <xf numFmtId="0" fontId="1" fillId="0" borderId="0" xfId="1" applyBorder="1"/>
    <xf numFmtId="0" fontId="3" fillId="3" borderId="0" xfId="0" applyFont="1" applyFill="1" applyAlignment="1">
      <alignment vertical="top" wrapText="1"/>
    </xf>
    <xf numFmtId="0" fontId="3" fillId="3" borderId="10" xfId="0" applyFont="1" applyFill="1" applyBorder="1" applyAlignment="1">
      <alignment vertical="top" wrapText="1"/>
    </xf>
    <xf numFmtId="0" fontId="1" fillId="3" borderId="11" xfId="1" applyFill="1" applyBorder="1" applyAlignment="1">
      <alignment horizontal="left" vertical="top" wrapText="1"/>
    </xf>
    <xf numFmtId="0" fontId="0" fillId="3" borderId="0" xfId="0" applyFill="1" applyAlignment="1">
      <alignment horizontal="left" vertical="top" wrapText="1"/>
    </xf>
    <xf numFmtId="0" fontId="0" fillId="3" borderId="0" xfId="0" applyFill="1" applyAlignment="1">
      <alignment vertical="top"/>
    </xf>
    <xf numFmtId="0" fontId="0" fillId="3" borderId="11" xfId="0" applyFill="1" applyBorder="1" applyAlignment="1">
      <alignment horizontal="left" vertical="top" wrapText="1"/>
    </xf>
    <xf numFmtId="0" fontId="54" fillId="16" borderId="26" xfId="0" applyFont="1" applyFill="1" applyBorder="1" applyAlignment="1">
      <alignment vertical="top" wrapText="1"/>
    </xf>
    <xf numFmtId="0" fontId="59" fillId="16" borderId="21" xfId="0" applyFont="1" applyFill="1" applyBorder="1" applyAlignment="1">
      <alignment vertical="top" wrapText="1"/>
    </xf>
    <xf numFmtId="0" fontId="8" fillId="9" borderId="19" xfId="0" applyFont="1" applyFill="1" applyBorder="1"/>
    <xf numFmtId="0" fontId="11" fillId="16" borderId="36" xfId="0" applyFont="1" applyFill="1" applyBorder="1" applyAlignment="1">
      <alignment horizontal="left" vertical="center" wrapText="1"/>
    </xf>
    <xf numFmtId="0" fontId="0" fillId="15" borderId="16" xfId="0" applyFill="1" applyBorder="1"/>
    <xf numFmtId="9" fontId="33" fillId="3" borderId="42" xfId="2" applyFont="1" applyFill="1" applyBorder="1" applyAlignment="1">
      <alignment horizontal="center" vertical="center"/>
    </xf>
    <xf numFmtId="1" fontId="33" fillId="3" borderId="42" xfId="2" applyNumberFormat="1" applyFont="1" applyFill="1" applyBorder="1" applyAlignment="1">
      <alignment horizontal="center"/>
    </xf>
    <xf numFmtId="0" fontId="35" fillId="3" borderId="42" xfId="0" applyFont="1" applyFill="1" applyBorder="1" applyAlignment="1">
      <alignment horizontal="center" vertical="center" wrapText="1"/>
    </xf>
    <xf numFmtId="1" fontId="31" fillId="3" borderId="42" xfId="2" applyNumberFormat="1" applyFont="1" applyFill="1" applyBorder="1" applyAlignment="1">
      <alignment horizontal="center"/>
    </xf>
    <xf numFmtId="0" fontId="35" fillId="3" borderId="47" xfId="0" applyFont="1" applyFill="1" applyBorder="1" applyAlignment="1">
      <alignment horizontal="center" vertical="center"/>
    </xf>
    <xf numFmtId="0" fontId="11" fillId="16" borderId="79" xfId="0" applyFont="1" applyFill="1" applyBorder="1" applyAlignment="1" applyProtection="1">
      <alignment horizontal="center" vertical="center" wrapText="1"/>
      <protection locked="0"/>
    </xf>
    <xf numFmtId="0" fontId="20" fillId="31" borderId="1" xfId="1" applyFont="1" applyFill="1" applyBorder="1" applyAlignment="1">
      <alignment horizontal="left" vertical="top" wrapText="1"/>
    </xf>
    <xf numFmtId="0" fontId="57" fillId="31" borderId="10" xfId="1" applyFont="1" applyFill="1" applyBorder="1" applyAlignment="1">
      <alignment horizontal="left" vertical="top" wrapText="1"/>
    </xf>
    <xf numFmtId="0" fontId="0" fillId="3" borderId="1" xfId="0" applyFill="1" applyBorder="1" applyAlignment="1">
      <alignment horizontal="left" vertical="top" wrapText="1"/>
    </xf>
    <xf numFmtId="0" fontId="3" fillId="3" borderId="10" xfId="0" applyFont="1" applyFill="1" applyBorder="1" applyAlignment="1">
      <alignment vertical="top"/>
    </xf>
    <xf numFmtId="0" fontId="3" fillId="3" borderId="11" xfId="0" applyFont="1" applyFill="1" applyBorder="1" applyAlignment="1">
      <alignment vertical="top"/>
    </xf>
    <xf numFmtId="0" fontId="11" fillId="31" borderId="22" xfId="0" applyFont="1" applyFill="1" applyBorder="1" applyAlignment="1">
      <alignment vertical="top" wrapText="1"/>
    </xf>
    <xf numFmtId="0" fontId="54" fillId="16" borderId="11" xfId="0" applyFont="1" applyFill="1" applyBorder="1" applyAlignment="1">
      <alignment vertical="top" wrapText="1"/>
    </xf>
    <xf numFmtId="17" fontId="45" fillId="3" borderId="5" xfId="0" quotePrefix="1" applyNumberFormat="1" applyFont="1" applyFill="1" applyBorder="1" applyAlignment="1">
      <alignment horizontal="center"/>
    </xf>
    <xf numFmtId="17" fontId="45" fillId="3" borderId="0" xfId="0" quotePrefix="1" applyNumberFormat="1" applyFont="1" applyFill="1" applyAlignment="1">
      <alignment horizontal="center"/>
    </xf>
    <xf numFmtId="17" fontId="45" fillId="3" borderId="6" xfId="0" quotePrefix="1" applyNumberFormat="1" applyFont="1" applyFill="1" applyBorder="1" applyAlignment="1">
      <alignment horizontal="center"/>
    </xf>
    <xf numFmtId="0" fontId="48" fillId="5" borderId="2" xfId="1" applyFont="1" applyFill="1" applyBorder="1" applyAlignment="1" applyProtection="1">
      <alignment vertical="center"/>
      <protection locked="0"/>
    </xf>
    <xf numFmtId="0" fontId="48" fillId="5" borderId="4" xfId="1" applyFont="1" applyFill="1" applyBorder="1" applyAlignment="1" applyProtection="1">
      <alignment vertical="center"/>
      <protection locked="0"/>
    </xf>
    <xf numFmtId="0" fontId="48" fillId="5" borderId="7" xfId="1" applyFont="1" applyFill="1" applyBorder="1" applyAlignment="1" applyProtection="1">
      <alignment vertical="center"/>
      <protection locked="0"/>
    </xf>
    <xf numFmtId="0" fontId="48" fillId="5" borderId="9" xfId="1" applyFont="1" applyFill="1" applyBorder="1" applyAlignment="1" applyProtection="1">
      <alignment vertical="center"/>
      <protection locked="0"/>
    </xf>
    <xf numFmtId="0" fontId="2" fillId="5" borderId="2" xfId="1" applyFont="1" applyFill="1" applyBorder="1" applyAlignment="1" applyProtection="1">
      <alignment vertical="center"/>
      <protection locked="0"/>
    </xf>
    <xf numFmtId="0" fontId="2" fillId="5" borderId="4" xfId="1" applyFont="1" applyFill="1" applyBorder="1" applyAlignment="1" applyProtection="1">
      <alignment vertical="center"/>
      <protection locked="0"/>
    </xf>
    <xf numFmtId="0" fontId="2" fillId="5" borderId="7" xfId="1" applyFont="1" applyFill="1" applyBorder="1" applyAlignment="1" applyProtection="1">
      <alignment vertical="center"/>
      <protection locked="0"/>
    </xf>
    <xf numFmtId="0" fontId="2" fillId="5" borderId="9" xfId="1" applyFont="1" applyFill="1" applyBorder="1" applyAlignment="1" applyProtection="1">
      <alignment vertical="center"/>
      <protection locked="0"/>
    </xf>
    <xf numFmtId="0" fontId="35" fillId="3" borderId="0" xfId="0" applyFont="1" applyFill="1" applyAlignment="1">
      <alignment horizontal="center" vertical="center" wrapText="1"/>
    </xf>
    <xf numFmtId="0" fontId="46" fillId="3" borderId="12" xfId="0" applyFont="1" applyFill="1" applyBorder="1" applyAlignment="1">
      <alignment horizontal="left" vertical="top" wrapText="1"/>
    </xf>
    <xf numFmtId="0" fontId="46" fillId="3" borderId="11" xfId="0" applyFont="1" applyFill="1" applyBorder="1" applyAlignment="1">
      <alignment horizontal="left" vertical="top" wrapText="1"/>
    </xf>
    <xf numFmtId="0" fontId="1" fillId="3" borderId="0" xfId="1" applyFill="1" applyBorder="1" applyAlignment="1">
      <alignment horizontal="left" vertical="top" wrapText="1"/>
    </xf>
    <xf numFmtId="0" fontId="3" fillId="3" borderId="2" xfId="0" applyFont="1" applyFill="1" applyBorder="1" applyAlignment="1">
      <alignment horizontal="left" vertical="top"/>
    </xf>
    <xf numFmtId="0" fontId="3" fillId="3" borderId="4" xfId="0" applyFont="1" applyFill="1" applyBorder="1" applyAlignment="1">
      <alignment horizontal="left" vertical="top"/>
    </xf>
    <xf numFmtId="0" fontId="1" fillId="3" borderId="7" xfId="1" applyFill="1" applyBorder="1" applyAlignment="1">
      <alignment horizontal="left" vertical="top" wrapText="1"/>
    </xf>
    <xf numFmtId="0" fontId="1" fillId="3" borderId="9" xfId="1" applyFill="1" applyBorder="1" applyAlignment="1">
      <alignment horizontal="left" vertical="top" wrapText="1"/>
    </xf>
    <xf numFmtId="0" fontId="0" fillId="3" borderId="7" xfId="0" applyFill="1" applyBorder="1" applyAlignment="1">
      <alignment horizontal="left" vertical="top" wrapText="1"/>
    </xf>
    <xf numFmtId="0" fontId="0" fillId="3" borderId="9" xfId="0" applyFill="1" applyBorder="1" applyAlignment="1">
      <alignment horizontal="left" vertical="top" wrapText="1"/>
    </xf>
    <xf numFmtId="0" fontId="3" fillId="3" borderId="2"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0" xfId="0" applyFont="1" applyFill="1" applyAlignment="1">
      <alignment horizontal="left" vertical="top"/>
    </xf>
    <xf numFmtId="0" fontId="0" fillId="3" borderId="5" xfId="0" applyFill="1" applyBorder="1" applyAlignment="1">
      <alignment horizontal="left" vertical="top" wrapText="1"/>
    </xf>
    <xf numFmtId="0" fontId="0" fillId="3" borderId="6" xfId="0" applyFill="1" applyBorder="1" applyAlignment="1">
      <alignment horizontal="left" vertical="top" wrapText="1"/>
    </xf>
    <xf numFmtId="0" fontId="0" fillId="3" borderId="0" xfId="0" applyFill="1" applyAlignment="1" applyProtection="1">
      <alignment horizontal="left"/>
      <protection locked="0"/>
    </xf>
    <xf numFmtId="0" fontId="2" fillId="4" borderId="2" xfId="1" applyFont="1" applyFill="1" applyBorder="1" applyAlignment="1" applyProtection="1">
      <alignment horizontal="center" vertical="center" wrapText="1"/>
      <protection locked="0"/>
    </xf>
    <xf numFmtId="0" fontId="2" fillId="4" borderId="4" xfId="1" applyFont="1" applyFill="1" applyBorder="1" applyAlignment="1" applyProtection="1">
      <alignment horizontal="center" vertical="center" wrapText="1"/>
      <protection locked="0"/>
    </xf>
    <xf numFmtId="0" fontId="2" fillId="4" borderId="5" xfId="1" applyFont="1" applyFill="1" applyBorder="1" applyAlignment="1" applyProtection="1">
      <alignment horizontal="center" vertical="center" wrapText="1"/>
      <protection locked="0"/>
    </xf>
    <xf numFmtId="0" fontId="2" fillId="4" borderId="6" xfId="1" applyFont="1" applyFill="1" applyBorder="1" applyAlignment="1" applyProtection="1">
      <alignment horizontal="center" vertical="center" wrapText="1"/>
      <protection locked="0"/>
    </xf>
    <xf numFmtId="0" fontId="2" fillId="4" borderId="7" xfId="1" applyFont="1" applyFill="1" applyBorder="1" applyAlignment="1" applyProtection="1">
      <alignment horizontal="center" vertical="center" wrapText="1"/>
      <protection locked="0"/>
    </xf>
    <xf numFmtId="0" fontId="2" fillId="4" borderId="9" xfId="1" applyFont="1" applyFill="1" applyBorder="1" applyAlignment="1" applyProtection="1">
      <alignment horizontal="center" vertical="center" wrapText="1"/>
      <protection locked="0"/>
    </xf>
    <xf numFmtId="0" fontId="0" fillId="3" borderId="0" xfId="0" applyFill="1" applyAlignment="1" applyProtection="1">
      <alignment horizontal="left" vertical="top" wrapText="1"/>
      <protection locked="0"/>
    </xf>
    <xf numFmtId="14" fontId="0" fillId="3" borderId="0" xfId="0" applyNumberFormat="1" applyFill="1" applyAlignment="1" applyProtection="1">
      <alignment horizontal="left"/>
      <protection locked="0"/>
    </xf>
    <xf numFmtId="0" fontId="0" fillId="2" borderId="0" xfId="0" applyFill="1" applyAlignment="1" applyProtection="1">
      <alignment horizontal="left" vertical="top" wrapText="1"/>
      <protection locked="0"/>
    </xf>
    <xf numFmtId="0" fontId="0" fillId="3" borderId="0" xfId="0" applyFill="1" applyAlignment="1" applyProtection="1">
      <alignment horizontal="left" vertical="top"/>
      <protection locked="0"/>
    </xf>
    <xf numFmtId="0" fontId="7" fillId="7" borderId="60" xfId="0" applyFont="1" applyFill="1" applyBorder="1" applyAlignment="1">
      <alignment horizontal="center" vertical="center"/>
    </xf>
    <xf numFmtId="0" fontId="7" fillId="7" borderId="61" xfId="0" applyFont="1" applyFill="1" applyBorder="1" applyAlignment="1">
      <alignment horizontal="center" vertical="center"/>
    </xf>
    <xf numFmtId="0" fontId="7" fillId="7" borderId="59" xfId="0" applyFont="1" applyFill="1" applyBorder="1" applyAlignment="1">
      <alignment horizontal="center" vertical="center"/>
    </xf>
    <xf numFmtId="0" fontId="23" fillId="11" borderId="35" xfId="0" applyFont="1" applyFill="1" applyBorder="1" applyAlignment="1">
      <alignment horizontal="center" vertical="center" wrapText="1"/>
    </xf>
    <xf numFmtId="0" fontId="23" fillId="11" borderId="36" xfId="0" applyFont="1" applyFill="1" applyBorder="1" applyAlignment="1">
      <alignment horizontal="center" vertical="center" wrapText="1"/>
    </xf>
    <xf numFmtId="0" fontId="23" fillId="11" borderId="37" xfId="0" applyFont="1" applyFill="1" applyBorder="1" applyAlignment="1">
      <alignment horizontal="center" vertical="center" wrapText="1"/>
    </xf>
    <xf numFmtId="0" fontId="23" fillId="11" borderId="35" xfId="0" applyFont="1" applyFill="1" applyBorder="1" applyAlignment="1">
      <alignment horizontal="center" vertical="center"/>
    </xf>
    <xf numFmtId="0" fontId="23" fillId="11" borderId="36" xfId="0" applyFont="1" applyFill="1" applyBorder="1" applyAlignment="1">
      <alignment horizontal="center" vertical="center"/>
    </xf>
    <xf numFmtId="0" fontId="23" fillId="11" borderId="37" xfId="0" applyFont="1" applyFill="1" applyBorder="1" applyAlignment="1">
      <alignment horizontal="center" vertical="center"/>
    </xf>
    <xf numFmtId="0" fontId="11" fillId="15" borderId="0" xfId="0" applyFont="1" applyFill="1" applyAlignment="1">
      <alignment horizontal="right" textRotation="90"/>
    </xf>
    <xf numFmtId="0" fontId="11" fillId="9" borderId="14" xfId="0" applyFont="1" applyFill="1" applyBorder="1" applyAlignment="1">
      <alignment horizontal="right" textRotation="90"/>
    </xf>
    <xf numFmtId="0" fontId="11" fillId="10" borderId="15" xfId="0" applyFont="1" applyFill="1" applyBorder="1" applyAlignment="1">
      <alignment horizontal="right" textRotation="90"/>
    </xf>
    <xf numFmtId="0" fontId="23" fillId="11" borderId="34" xfId="0" applyFont="1" applyFill="1" applyBorder="1" applyAlignment="1">
      <alignment horizontal="center" vertical="center"/>
    </xf>
    <xf numFmtId="0" fontId="23" fillId="11" borderId="58" xfId="0" applyFont="1" applyFill="1" applyBorder="1" applyAlignment="1">
      <alignment horizontal="center" vertical="center"/>
    </xf>
    <xf numFmtId="0" fontId="23" fillId="11" borderId="40" xfId="0" applyFont="1" applyFill="1" applyBorder="1" applyAlignment="1">
      <alignment horizontal="center" vertical="center"/>
    </xf>
    <xf numFmtId="0" fontId="23" fillId="11" borderId="45" xfId="0" applyFont="1" applyFill="1" applyBorder="1" applyAlignment="1">
      <alignment horizontal="center" vertical="center"/>
    </xf>
    <xf numFmtId="0" fontId="23" fillId="11" borderId="15" xfId="0" applyFont="1" applyFill="1" applyBorder="1" applyAlignment="1">
      <alignment horizontal="center" vertical="center"/>
    </xf>
    <xf numFmtId="0" fontId="23" fillId="11" borderId="33" xfId="0" applyFont="1" applyFill="1" applyBorder="1" applyAlignment="1">
      <alignment horizontal="center" vertical="center"/>
    </xf>
    <xf numFmtId="0" fontId="23" fillId="11" borderId="0" xfId="0" applyFont="1" applyFill="1" applyAlignment="1">
      <alignment horizontal="center" vertical="center"/>
    </xf>
    <xf numFmtId="0" fontId="23" fillId="11" borderId="17" xfId="0" applyFont="1" applyFill="1" applyBorder="1" applyAlignment="1">
      <alignment horizontal="center" vertical="center"/>
    </xf>
    <xf numFmtId="0" fontId="23" fillId="11" borderId="38" xfId="0" applyFont="1" applyFill="1" applyBorder="1" applyAlignment="1">
      <alignment horizontal="center" vertical="center"/>
    </xf>
    <xf numFmtId="0" fontId="23" fillId="11" borderId="41" xfId="0" applyFont="1" applyFill="1" applyBorder="1" applyAlignment="1">
      <alignment horizontal="center" vertical="center"/>
    </xf>
    <xf numFmtId="0" fontId="23" fillId="11" borderId="19" xfId="0" applyFont="1" applyFill="1" applyBorder="1" applyAlignment="1">
      <alignment horizontal="center" vertical="center"/>
    </xf>
    <xf numFmtId="0" fontId="17" fillId="13" borderId="75" xfId="0" applyFont="1" applyFill="1" applyBorder="1" applyAlignment="1">
      <alignment horizontal="center" vertical="center"/>
    </xf>
    <xf numFmtId="0" fontId="17" fillId="8" borderId="64" xfId="0" applyFont="1" applyFill="1" applyBorder="1" applyAlignment="1">
      <alignment horizontal="center" vertical="center"/>
    </xf>
    <xf numFmtId="0" fontId="17" fillId="14" borderId="65" xfId="0" applyFont="1" applyFill="1" applyBorder="1" applyAlignment="1">
      <alignment horizontal="center" vertical="center"/>
    </xf>
    <xf numFmtId="0" fontId="11" fillId="10" borderId="0" xfId="0" applyFont="1" applyFill="1" applyAlignment="1">
      <alignment horizontal="center"/>
    </xf>
    <xf numFmtId="0" fontId="23" fillId="32" borderId="15" xfId="0" applyFont="1" applyFill="1" applyBorder="1" applyAlignment="1">
      <alignment horizontal="center" vertical="center"/>
    </xf>
    <xf numFmtId="0" fontId="23" fillId="32" borderId="40" xfId="0" applyFont="1" applyFill="1" applyBorder="1" applyAlignment="1">
      <alignment horizontal="center" vertical="center"/>
    </xf>
    <xf numFmtId="0" fontId="23" fillId="11" borderId="40" xfId="0" applyFont="1" applyFill="1" applyBorder="1" applyAlignment="1">
      <alignment horizontal="center" vertical="center" wrapText="1"/>
    </xf>
    <xf numFmtId="0" fontId="23" fillId="11" borderId="60" xfId="0" applyFont="1" applyFill="1" applyBorder="1" applyAlignment="1">
      <alignment horizontal="center" vertical="center" wrapText="1"/>
    </xf>
    <xf numFmtId="0" fontId="7" fillId="7" borderId="33" xfId="0" applyFont="1" applyFill="1" applyBorder="1" applyAlignment="1">
      <alignment horizontal="center" vertical="center"/>
    </xf>
    <xf numFmtId="0" fontId="17" fillId="12" borderId="59" xfId="0" applyFont="1" applyFill="1" applyBorder="1" applyAlignment="1">
      <alignment horizontal="center" vertical="center" wrapText="1"/>
    </xf>
    <xf numFmtId="0" fontId="11" fillId="9" borderId="40" xfId="0" applyFont="1" applyFill="1" applyBorder="1" applyAlignment="1">
      <alignment horizontal="center"/>
    </xf>
    <xf numFmtId="0" fontId="11" fillId="9" borderId="45" xfId="0" applyFont="1" applyFill="1" applyBorder="1" applyAlignment="1">
      <alignment horizontal="center"/>
    </xf>
    <xf numFmtId="0" fontId="11" fillId="9" borderId="33" xfId="0" applyFont="1" applyFill="1" applyBorder="1" applyAlignment="1">
      <alignment horizontal="center"/>
    </xf>
    <xf numFmtId="0" fontId="11" fillId="9" borderId="0" xfId="0" applyFont="1" applyFill="1" applyAlignment="1">
      <alignment horizontal="center"/>
    </xf>
    <xf numFmtId="0" fontId="11" fillId="10" borderId="45" xfId="0" applyFont="1" applyFill="1" applyBorder="1" applyAlignment="1">
      <alignment horizontal="center"/>
    </xf>
    <xf numFmtId="0" fontId="11" fillId="10" borderId="15" xfId="0" applyFont="1" applyFill="1" applyBorder="1" applyAlignment="1">
      <alignment horizontal="center"/>
    </xf>
    <xf numFmtId="0" fontId="11" fillId="10" borderId="17" xfId="0" applyFont="1" applyFill="1" applyBorder="1" applyAlignment="1">
      <alignment horizontal="center"/>
    </xf>
    <xf numFmtId="0" fontId="11" fillId="10" borderId="40" xfId="0" applyFont="1" applyFill="1" applyBorder="1" applyAlignment="1">
      <alignment horizontal="center"/>
    </xf>
    <xf numFmtId="0" fontId="11" fillId="10" borderId="33" xfId="0" applyFont="1" applyFill="1" applyBorder="1" applyAlignment="1">
      <alignment horizontal="center"/>
    </xf>
    <xf numFmtId="0" fontId="35" fillId="3" borderId="56" xfId="0" applyFont="1" applyFill="1" applyBorder="1" applyAlignment="1">
      <alignment horizontal="center" vertical="center" wrapText="1"/>
    </xf>
    <xf numFmtId="0" fontId="35" fillId="3" borderId="101" xfId="0" applyFont="1" applyFill="1" applyBorder="1" applyAlignment="1">
      <alignment horizontal="center" vertical="center" wrapText="1"/>
    </xf>
    <xf numFmtId="0" fontId="35" fillId="3" borderId="57" xfId="0" applyFont="1" applyFill="1" applyBorder="1" applyAlignment="1">
      <alignment horizontal="center" vertical="center" wrapText="1"/>
    </xf>
    <xf numFmtId="1" fontId="33" fillId="3" borderId="46" xfId="2" applyNumberFormat="1" applyFont="1" applyFill="1" applyBorder="1" applyAlignment="1">
      <alignment horizontal="center"/>
    </xf>
    <xf numFmtId="1" fontId="33" fillId="3" borderId="47" xfId="2" applyNumberFormat="1" applyFont="1" applyFill="1" applyBorder="1" applyAlignment="1">
      <alignment horizontal="center"/>
    </xf>
    <xf numFmtId="1" fontId="33" fillId="3" borderId="46" xfId="2" applyNumberFormat="1" applyFont="1" applyFill="1" applyBorder="1" applyAlignment="1">
      <alignment horizontal="center" vertical="center"/>
    </xf>
    <xf numFmtId="1" fontId="33" fillId="3" borderId="47" xfId="2" applyNumberFormat="1" applyFont="1" applyFill="1" applyBorder="1" applyAlignment="1">
      <alignment horizontal="center" vertical="center"/>
    </xf>
    <xf numFmtId="0" fontId="43" fillId="3" borderId="0" xfId="0" applyFont="1" applyFill="1" applyAlignment="1">
      <alignment horizontal="left"/>
    </xf>
    <xf numFmtId="0" fontId="43" fillId="3" borderId="46" xfId="0" applyFont="1" applyFill="1" applyBorder="1" applyAlignment="1">
      <alignment horizontal="left" wrapText="1"/>
    </xf>
    <xf numFmtId="0" fontId="43" fillId="3" borderId="48" xfId="0" applyFont="1" applyFill="1" applyBorder="1" applyAlignment="1">
      <alignment horizontal="left" wrapText="1"/>
    </xf>
    <xf numFmtId="0" fontId="43" fillId="3" borderId="47" xfId="0" applyFont="1" applyFill="1" applyBorder="1" applyAlignment="1">
      <alignment horizontal="left" wrapText="1"/>
    </xf>
    <xf numFmtId="0" fontId="31" fillId="3" borderId="0" xfId="0" applyFont="1" applyFill="1" applyAlignment="1">
      <alignment horizontal="left"/>
    </xf>
    <xf numFmtId="0" fontId="32" fillId="0" borderId="46" xfId="0" applyFont="1" applyBorder="1" applyAlignment="1">
      <alignment horizontal="left"/>
    </xf>
    <xf numFmtId="0" fontId="62" fillId="0" borderId="48" xfId="0" applyFont="1" applyBorder="1" applyAlignment="1">
      <alignment horizontal="left"/>
    </xf>
    <xf numFmtId="0" fontId="62" fillId="0" borderId="47" xfId="0" applyFont="1" applyBorder="1" applyAlignment="1">
      <alignment horizontal="left"/>
    </xf>
    <xf numFmtId="1" fontId="33" fillId="3" borderId="46" xfId="2" applyNumberFormat="1" applyFont="1" applyFill="1" applyBorder="1" applyAlignment="1" applyProtection="1">
      <alignment horizontal="center" vertical="center"/>
    </xf>
    <xf numFmtId="1" fontId="33" fillId="3" borderId="47" xfId="2" applyNumberFormat="1" applyFont="1" applyFill="1" applyBorder="1" applyAlignment="1" applyProtection="1">
      <alignment horizontal="center" vertical="center"/>
    </xf>
    <xf numFmtId="0" fontId="33" fillId="3" borderId="46" xfId="0" applyFont="1" applyFill="1" applyBorder="1" applyAlignment="1">
      <alignment horizontal="left"/>
    </xf>
    <xf numFmtId="0" fontId="33" fillId="3" borderId="48" xfId="0" applyFont="1" applyFill="1" applyBorder="1" applyAlignment="1">
      <alignment horizontal="left"/>
    </xf>
    <xf numFmtId="0" fontId="33" fillId="3" borderId="47" xfId="0" applyFont="1" applyFill="1" applyBorder="1" applyAlignment="1">
      <alignment horizontal="left"/>
    </xf>
    <xf numFmtId="9" fontId="33" fillId="3" borderId="46" xfId="2" applyFont="1" applyFill="1" applyBorder="1" applyAlignment="1" applyProtection="1">
      <alignment horizontal="center" vertical="center"/>
    </xf>
    <xf numFmtId="9" fontId="33" fillId="3" borderId="47" xfId="2" applyFont="1" applyFill="1" applyBorder="1" applyAlignment="1" applyProtection="1">
      <alignment horizontal="center" vertical="center"/>
    </xf>
    <xf numFmtId="0" fontId="41" fillId="3" borderId="100" xfId="0" applyFont="1" applyFill="1" applyBorder="1" applyAlignment="1">
      <alignment horizontal="center" vertical="center" wrapText="1"/>
    </xf>
    <xf numFmtId="0" fontId="41" fillId="3" borderId="0" xfId="0" applyFont="1" applyFill="1" applyAlignment="1">
      <alignment horizontal="center" vertical="center" wrapText="1"/>
    </xf>
    <xf numFmtId="0" fontId="41" fillId="3" borderId="101" xfId="0" applyFont="1" applyFill="1" applyBorder="1" applyAlignment="1">
      <alignment horizontal="center" vertical="center" wrapText="1"/>
    </xf>
    <xf numFmtId="9" fontId="33" fillId="3" borderId="48" xfId="2" applyFont="1" applyFill="1" applyBorder="1" applyAlignment="1" applyProtection="1">
      <alignment horizontal="center" vertical="center"/>
    </xf>
    <xf numFmtId="0" fontId="32" fillId="3" borderId="100"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101" xfId="0" applyFont="1" applyFill="1" applyBorder="1" applyAlignment="1">
      <alignment horizontal="center" vertical="center" wrapText="1"/>
    </xf>
    <xf numFmtId="0" fontId="31" fillId="3" borderId="49" xfId="0" applyFont="1" applyFill="1" applyBorder="1" applyAlignment="1">
      <alignment vertical="center"/>
    </xf>
    <xf numFmtId="0" fontId="31" fillId="3" borderId="50" xfId="0" applyFont="1" applyFill="1" applyBorder="1" applyAlignment="1">
      <alignment vertical="center"/>
    </xf>
    <xf numFmtId="0" fontId="34" fillId="3" borderId="46" xfId="0" applyFont="1" applyFill="1" applyBorder="1" applyAlignment="1">
      <alignment horizontal="center" vertical="center"/>
    </xf>
    <xf numFmtId="0" fontId="34" fillId="3" borderId="47" xfId="0" applyFont="1" applyFill="1" applyBorder="1" applyAlignment="1">
      <alignment horizontal="center" vertical="center"/>
    </xf>
    <xf numFmtId="0" fontId="41" fillId="3" borderId="46" xfId="0" applyFont="1" applyFill="1" applyBorder="1" applyAlignment="1">
      <alignment horizontal="center" vertical="center" wrapText="1"/>
    </xf>
    <xf numFmtId="0" fontId="41" fillId="3" borderId="47"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47" xfId="0" applyFont="1" applyFill="1" applyBorder="1" applyAlignment="1">
      <alignment horizontal="center" vertical="center" wrapText="1"/>
    </xf>
    <xf numFmtId="0" fontId="32" fillId="3" borderId="48" xfId="0" applyFont="1" applyFill="1" applyBorder="1" applyAlignment="1">
      <alignment horizontal="center" vertical="center" wrapText="1"/>
    </xf>
    <xf numFmtId="44" fontId="32" fillId="3" borderId="46" xfId="3" applyFont="1" applyFill="1" applyBorder="1" applyAlignment="1" applyProtection="1">
      <alignment horizontal="center" vertical="center" wrapText="1"/>
    </xf>
    <xf numFmtId="44" fontId="32" fillId="3" borderId="47" xfId="3" applyFont="1" applyFill="1" applyBorder="1" applyAlignment="1" applyProtection="1">
      <alignment horizontal="center" vertical="center" wrapText="1"/>
    </xf>
    <xf numFmtId="0" fontId="41" fillId="3" borderId="48" xfId="0" applyFont="1" applyFill="1" applyBorder="1" applyAlignment="1">
      <alignment horizontal="center" vertical="center" wrapText="1"/>
    </xf>
    <xf numFmtId="0" fontId="43" fillId="3" borderId="46" xfId="0" applyFont="1" applyFill="1" applyBorder="1" applyAlignment="1">
      <alignment horizontal="left" vertical="center" wrapText="1"/>
    </xf>
    <xf numFmtId="0" fontId="43" fillId="3" borderId="48" xfId="0" applyFont="1" applyFill="1" applyBorder="1" applyAlignment="1">
      <alignment horizontal="left" vertical="center" wrapText="1"/>
    </xf>
    <xf numFmtId="0" fontId="43" fillId="3" borderId="47" xfId="0" applyFont="1" applyFill="1" applyBorder="1" applyAlignment="1">
      <alignment horizontal="left" vertical="center" wrapText="1"/>
    </xf>
    <xf numFmtId="0" fontId="31" fillId="3" borderId="51" xfId="0" applyFont="1" applyFill="1" applyBorder="1" applyAlignment="1">
      <alignment horizontal="left" vertical="center"/>
    </xf>
    <xf numFmtId="0" fontId="31" fillId="3" borderId="102" xfId="0" applyFont="1" applyFill="1" applyBorder="1" applyAlignment="1">
      <alignment horizontal="left" vertical="center"/>
    </xf>
    <xf numFmtId="0" fontId="31" fillId="3" borderId="56" xfId="0" applyFont="1" applyFill="1" applyBorder="1" applyAlignment="1">
      <alignment horizontal="left" vertical="center"/>
    </xf>
    <xf numFmtId="0" fontId="31" fillId="3" borderId="100" xfId="0" applyFont="1" applyFill="1" applyBorder="1" applyAlignment="1">
      <alignment horizontal="left" vertical="center"/>
    </xf>
    <xf numFmtId="0" fontId="31" fillId="3" borderId="0" xfId="0" applyFont="1" applyFill="1" applyAlignment="1">
      <alignment horizontal="left" vertical="center"/>
    </xf>
    <xf numFmtId="0" fontId="31" fillId="3" borderId="101" xfId="0" applyFont="1" applyFill="1" applyBorder="1" applyAlignment="1">
      <alignment horizontal="left" vertical="center"/>
    </xf>
    <xf numFmtId="0" fontId="31" fillId="3" borderId="55" xfId="0" applyFont="1" applyFill="1" applyBorder="1" applyAlignment="1">
      <alignment horizontal="left" vertical="center"/>
    </xf>
    <xf numFmtId="0" fontId="31" fillId="3" borderId="63" xfId="0" applyFont="1" applyFill="1" applyBorder="1" applyAlignment="1">
      <alignment horizontal="left" vertical="center"/>
    </xf>
    <xf numFmtId="0" fontId="31" fillId="3" borderId="57" xfId="0" applyFont="1" applyFill="1" applyBorder="1" applyAlignment="1">
      <alignment horizontal="left" vertical="center"/>
    </xf>
    <xf numFmtId="0" fontId="35" fillId="3" borderId="46" xfId="0" applyFont="1" applyFill="1" applyBorder="1" applyAlignment="1">
      <alignment horizontal="center" vertical="center"/>
    </xf>
    <xf numFmtId="0" fontId="35" fillId="3" borderId="47" xfId="0" applyFont="1" applyFill="1" applyBorder="1" applyAlignment="1">
      <alignment horizontal="center" vertical="center"/>
    </xf>
    <xf numFmtId="0" fontId="35" fillId="3" borderId="48" xfId="0" applyFont="1" applyFill="1" applyBorder="1" applyAlignment="1">
      <alignment horizontal="center" vertical="center"/>
    </xf>
    <xf numFmtId="1" fontId="31" fillId="3" borderId="46" xfId="2" applyNumberFormat="1" applyFont="1" applyFill="1" applyBorder="1" applyAlignment="1">
      <alignment horizontal="center"/>
    </xf>
    <xf numFmtId="1" fontId="31" fillId="3" borderId="47" xfId="2" applyNumberFormat="1" applyFont="1" applyFill="1" applyBorder="1" applyAlignment="1">
      <alignment horizontal="center"/>
    </xf>
    <xf numFmtId="0" fontId="35" fillId="3" borderId="51" xfId="0" applyFont="1" applyFill="1" applyBorder="1" applyAlignment="1">
      <alignment horizontal="center" vertical="center" wrapText="1"/>
    </xf>
    <xf numFmtId="0" fontId="35" fillId="3" borderId="100" xfId="0" applyFont="1" applyFill="1" applyBorder="1" applyAlignment="1">
      <alignment horizontal="center" vertical="center" wrapText="1"/>
    </xf>
    <xf numFmtId="0" fontId="35" fillId="3" borderId="55" xfId="0" applyFont="1" applyFill="1" applyBorder="1" applyAlignment="1">
      <alignment horizontal="center" vertical="center" wrapText="1"/>
    </xf>
    <xf numFmtId="0" fontId="41" fillId="3" borderId="51" xfId="0" applyFont="1" applyFill="1" applyBorder="1" applyAlignment="1">
      <alignment horizontal="center" vertical="center" wrapText="1"/>
    </xf>
    <xf numFmtId="0" fontId="41" fillId="3" borderId="56" xfId="0" applyFont="1" applyFill="1" applyBorder="1" applyAlignment="1">
      <alignment horizontal="center" vertical="center" wrapText="1"/>
    </xf>
    <xf numFmtId="1" fontId="33" fillId="3" borderId="0" xfId="2" applyNumberFormat="1" applyFont="1" applyFill="1" applyBorder="1" applyAlignment="1" applyProtection="1">
      <alignment horizontal="center" vertical="center"/>
    </xf>
    <xf numFmtId="9" fontId="33" fillId="3" borderId="0" xfId="2" applyFont="1" applyFill="1" applyBorder="1" applyAlignment="1" applyProtection="1">
      <alignment horizontal="center" vertical="center"/>
    </xf>
    <xf numFmtId="1" fontId="33" fillId="3" borderId="46" xfId="2" applyNumberFormat="1" applyFont="1" applyFill="1" applyBorder="1" applyAlignment="1" applyProtection="1">
      <alignment horizontal="center"/>
    </xf>
    <xf numFmtId="1" fontId="33" fillId="3" borderId="47" xfId="2" applyNumberFormat="1" applyFont="1" applyFill="1" applyBorder="1" applyAlignment="1" applyProtection="1">
      <alignment horizontal="center"/>
    </xf>
    <xf numFmtId="0" fontId="35" fillId="3" borderId="49" xfId="0" applyFont="1" applyFill="1" applyBorder="1" applyAlignment="1">
      <alignment horizontal="center" vertical="center" wrapText="1"/>
    </xf>
    <xf numFmtId="0" fontId="35" fillId="3" borderId="50" xfId="0" applyFont="1" applyFill="1" applyBorder="1" applyAlignment="1">
      <alignment horizontal="center" vertical="center" wrapText="1"/>
    </xf>
    <xf numFmtId="0" fontId="31" fillId="3" borderId="46" xfId="0" applyFont="1" applyFill="1" applyBorder="1" applyAlignment="1">
      <alignment horizontal="left"/>
    </xf>
    <xf numFmtId="0" fontId="31" fillId="3" borderId="48" xfId="0" applyFont="1" applyFill="1" applyBorder="1" applyAlignment="1">
      <alignment horizontal="left"/>
    </xf>
    <xf numFmtId="0" fontId="31" fillId="3" borderId="47" xfId="0" applyFont="1" applyFill="1" applyBorder="1" applyAlignment="1">
      <alignment horizontal="left"/>
    </xf>
    <xf numFmtId="0" fontId="43" fillId="3" borderId="46" xfId="0" applyFont="1" applyFill="1" applyBorder="1" applyAlignment="1">
      <alignment horizontal="left"/>
    </xf>
    <xf numFmtId="0" fontId="43" fillId="3" borderId="48" xfId="0" applyFont="1" applyFill="1" applyBorder="1" applyAlignment="1">
      <alignment horizontal="left"/>
    </xf>
    <xf numFmtId="0" fontId="43" fillId="3" borderId="47" xfId="0" applyFont="1" applyFill="1" applyBorder="1" applyAlignment="1">
      <alignment horizontal="left"/>
    </xf>
    <xf numFmtId="0" fontId="31" fillId="3" borderId="95" xfId="0" applyFont="1" applyFill="1" applyBorder="1" applyAlignment="1">
      <alignment vertical="center"/>
    </xf>
    <xf numFmtId="0" fontId="41" fillId="3" borderId="95" xfId="0" applyFont="1" applyFill="1" applyBorder="1" applyAlignment="1">
      <alignment horizontal="center" vertical="center" wrapText="1"/>
    </xf>
    <xf numFmtId="9" fontId="33" fillId="3" borderId="95" xfId="2" applyFont="1" applyFill="1" applyBorder="1" applyAlignment="1" applyProtection="1">
      <alignment horizontal="center" vertical="center"/>
    </xf>
    <xf numFmtId="44" fontId="32" fillId="3" borderId="95" xfId="3" applyFont="1" applyFill="1" applyBorder="1" applyAlignment="1" applyProtection="1">
      <alignment horizontal="center" vertical="center" wrapText="1"/>
    </xf>
    <xf numFmtId="0" fontId="32" fillId="3" borderId="95" xfId="0" applyFont="1" applyFill="1" applyBorder="1" applyAlignment="1">
      <alignment horizontal="center" vertical="center" wrapText="1"/>
    </xf>
    <xf numFmtId="1" fontId="33" fillId="3" borderId="52" xfId="2" applyNumberFormat="1" applyFont="1" applyFill="1" applyBorder="1" applyAlignment="1" applyProtection="1">
      <alignment horizontal="center" vertical="center"/>
    </xf>
    <xf numFmtId="1" fontId="33" fillId="3" borderId="54" xfId="2" applyNumberFormat="1" applyFont="1" applyFill="1" applyBorder="1" applyAlignment="1" applyProtection="1">
      <alignment horizontal="center" vertical="center"/>
    </xf>
    <xf numFmtId="1" fontId="33" fillId="3" borderId="95" xfId="2" applyNumberFormat="1" applyFont="1" applyFill="1" applyBorder="1" applyAlignment="1" applyProtection="1">
      <alignment horizontal="center" vertical="center"/>
    </xf>
    <xf numFmtId="0" fontId="31" fillId="3" borderId="85" xfId="0" applyFont="1" applyFill="1" applyBorder="1" applyAlignment="1">
      <alignment vertical="center"/>
    </xf>
    <xf numFmtId="0" fontId="31" fillId="3" borderId="88" xfId="0" applyFont="1" applyFill="1" applyBorder="1" applyAlignment="1">
      <alignment vertical="center"/>
    </xf>
    <xf numFmtId="0" fontId="35" fillId="3" borderId="86" xfId="0" applyFont="1" applyFill="1" applyBorder="1" applyAlignment="1">
      <alignment horizontal="center" vertical="center" wrapText="1"/>
    </xf>
    <xf numFmtId="0" fontId="35" fillId="3" borderId="86" xfId="0" applyFont="1" applyFill="1" applyBorder="1" applyAlignment="1">
      <alignment horizontal="center" vertical="center"/>
    </xf>
    <xf numFmtId="0" fontId="35" fillId="3" borderId="87"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35" fillId="3" borderId="0" xfId="0" applyFont="1" applyFill="1" applyAlignment="1">
      <alignment horizontal="center" vertical="center"/>
    </xf>
    <xf numFmtId="1" fontId="33" fillId="3" borderId="0" xfId="2" applyNumberFormat="1" applyFont="1" applyFill="1" applyBorder="1" applyAlignment="1" applyProtection="1">
      <alignment horizontal="center"/>
    </xf>
    <xf numFmtId="0" fontId="41" fillId="3" borderId="88" xfId="0" applyFont="1" applyFill="1" applyBorder="1" applyAlignment="1">
      <alignment horizontal="center" vertical="center" wrapText="1"/>
    </xf>
    <xf numFmtId="0" fontId="41" fillId="3" borderId="89" xfId="0" applyFont="1" applyFill="1" applyBorder="1" applyAlignment="1">
      <alignment horizontal="center" vertical="center" wrapText="1"/>
    </xf>
    <xf numFmtId="0" fontId="32" fillId="3" borderId="88" xfId="0" applyFont="1" applyFill="1" applyBorder="1" applyAlignment="1">
      <alignment horizontal="center" vertical="center" wrapText="1"/>
    </xf>
    <xf numFmtId="0" fontId="32" fillId="3" borderId="89" xfId="0" applyFont="1" applyFill="1" applyBorder="1" applyAlignment="1">
      <alignment horizontal="center" vertical="center" wrapText="1"/>
    </xf>
    <xf numFmtId="0" fontId="43" fillId="3" borderId="88" xfId="0" applyFont="1" applyFill="1" applyBorder="1" applyAlignment="1">
      <alignment horizontal="left" wrapText="1"/>
    </xf>
    <xf numFmtId="0" fontId="43" fillId="3" borderId="0" xfId="0" applyFont="1" applyFill="1" applyAlignment="1">
      <alignment horizontal="left" wrapText="1"/>
    </xf>
    <xf numFmtId="0" fontId="43" fillId="3" borderId="89" xfId="0" applyFont="1" applyFill="1" applyBorder="1" applyAlignment="1">
      <alignment horizontal="left" wrapText="1"/>
    </xf>
    <xf numFmtId="0" fontId="31" fillId="3" borderId="88" xfId="0" applyFont="1" applyFill="1" applyBorder="1" applyAlignment="1">
      <alignment horizontal="left"/>
    </xf>
    <xf numFmtId="0" fontId="31" fillId="3" borderId="89" xfId="0" applyFont="1" applyFill="1" applyBorder="1" applyAlignment="1">
      <alignment horizontal="left"/>
    </xf>
    <xf numFmtId="0" fontId="43" fillId="3" borderId="90" xfId="0" applyFont="1" applyFill="1" applyBorder="1" applyAlignment="1">
      <alignment horizontal="left" wrapText="1"/>
    </xf>
    <xf numFmtId="0" fontId="43" fillId="3" borderId="91" xfId="0" applyFont="1" applyFill="1" applyBorder="1" applyAlignment="1">
      <alignment horizontal="left" wrapText="1"/>
    </xf>
    <xf numFmtId="0" fontId="43" fillId="3" borderId="92" xfId="0" applyFont="1" applyFill="1" applyBorder="1" applyAlignment="1">
      <alignment horizontal="left" wrapText="1"/>
    </xf>
    <xf numFmtId="0" fontId="38" fillId="18" borderId="3" xfId="0" applyFont="1" applyFill="1" applyBorder="1" applyAlignment="1">
      <alignment horizontal="left" vertical="center" wrapText="1"/>
    </xf>
    <xf numFmtId="0" fontId="38" fillId="18" borderId="4" xfId="0" applyFont="1" applyFill="1" applyBorder="1" applyAlignment="1">
      <alignment horizontal="left" vertical="center" wrapText="1"/>
    </xf>
    <xf numFmtId="0" fontId="38" fillId="18" borderId="0" xfId="0" applyFont="1" applyFill="1" applyAlignment="1">
      <alignment horizontal="left" vertical="center" wrapText="1"/>
    </xf>
    <xf numFmtId="0" fontId="12" fillId="3" borderId="0" xfId="0" applyFont="1" applyFill="1" applyAlignment="1">
      <alignment horizontal="left" vertical="center" wrapText="1"/>
    </xf>
    <xf numFmtId="0" fontId="36" fillId="18" borderId="69" xfId="0" applyFont="1" applyFill="1" applyBorder="1" applyAlignment="1">
      <alignment horizontal="center" vertical="center" wrapText="1"/>
    </xf>
    <xf numFmtId="0" fontId="36" fillId="18" borderId="68" xfId="0" applyFont="1" applyFill="1" applyBorder="1" applyAlignment="1">
      <alignment horizontal="center" vertical="center" wrapText="1"/>
    </xf>
    <xf numFmtId="0" fontId="38" fillId="18" borderId="6" xfId="0" applyFont="1" applyFill="1" applyBorder="1" applyAlignment="1">
      <alignment horizontal="left" vertical="center" wrapText="1"/>
    </xf>
    <xf numFmtId="0" fontId="38" fillId="18" borderId="2" xfId="0" applyFont="1" applyFill="1" applyBorder="1" applyAlignment="1">
      <alignment horizontal="center" vertical="center" wrapText="1"/>
    </xf>
    <xf numFmtId="0" fontId="38" fillId="18" borderId="3" xfId="0" applyFont="1" applyFill="1" applyBorder="1" applyAlignment="1">
      <alignment horizontal="center" vertical="center" wrapText="1"/>
    </xf>
    <xf numFmtId="0" fontId="38" fillId="18" borderId="4" xfId="0" applyFont="1" applyFill="1" applyBorder="1" applyAlignment="1">
      <alignment horizontal="center" vertical="center" wrapText="1"/>
    </xf>
    <xf numFmtId="0" fontId="38" fillId="18" borderId="69" xfId="0" applyFont="1" applyFill="1" applyBorder="1" applyAlignment="1">
      <alignment horizontal="center" vertical="center" wrapText="1"/>
    </xf>
    <xf numFmtId="0" fontId="38" fillId="18" borderId="70" xfId="0" applyFont="1" applyFill="1" applyBorder="1" applyAlignment="1">
      <alignment horizontal="center" vertical="center" wrapText="1"/>
    </xf>
    <xf numFmtId="0" fontId="23" fillId="11" borderId="61" xfId="0" applyFont="1" applyFill="1" applyBorder="1" applyAlignment="1">
      <alignment horizontal="center" vertical="center" wrapText="1"/>
    </xf>
    <xf numFmtId="0" fontId="23" fillId="11" borderId="62" xfId="0" applyFont="1" applyFill="1" applyBorder="1" applyAlignment="1">
      <alignment horizontal="center" vertical="center" wrapText="1"/>
    </xf>
    <xf numFmtId="0" fontId="7" fillId="7" borderId="40" xfId="0" applyFont="1" applyFill="1" applyBorder="1" applyAlignment="1">
      <alignment horizontal="center" vertical="center"/>
    </xf>
    <xf numFmtId="0" fontId="7" fillId="7" borderId="45" xfId="0" applyFont="1" applyFill="1" applyBorder="1" applyAlignment="1">
      <alignment horizontal="center" vertical="center"/>
    </xf>
    <xf numFmtId="0" fontId="7" fillId="7" borderId="0" xfId="0" applyFont="1" applyFill="1" applyAlignment="1">
      <alignment horizontal="center" vertical="center"/>
    </xf>
    <xf numFmtId="0" fontId="23" fillId="11" borderId="4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52" fillId="37" borderId="0" xfId="0" applyFont="1" applyFill="1" applyAlignment="1">
      <alignment horizontal="center" vertical="top" wrapText="1"/>
    </xf>
    <xf numFmtId="0" fontId="52" fillId="37" borderId="0" xfId="0" applyFont="1" applyFill="1" applyAlignment="1">
      <alignment horizontal="center" vertical="top"/>
    </xf>
    <xf numFmtId="0" fontId="17" fillId="13" borderId="6" xfId="0" applyFont="1" applyFill="1" applyBorder="1" applyAlignment="1">
      <alignment horizontal="center" vertical="center"/>
    </xf>
    <xf numFmtId="0" fontId="17" fillId="13" borderId="76" xfId="0" applyFont="1" applyFill="1" applyBorder="1" applyAlignment="1">
      <alignment horizontal="center" vertical="center"/>
    </xf>
    <xf numFmtId="0" fontId="17" fillId="8" borderId="12" xfId="0" applyFont="1" applyFill="1" applyBorder="1" applyAlignment="1">
      <alignment horizontal="center" vertical="center"/>
    </xf>
    <xf numFmtId="0" fontId="17" fillId="8" borderId="31" xfId="0" applyFont="1" applyFill="1" applyBorder="1" applyAlignment="1">
      <alignment horizontal="center" vertical="center"/>
    </xf>
    <xf numFmtId="0" fontId="17" fillId="14" borderId="66" xfId="0" applyFont="1" applyFill="1" applyBorder="1" applyAlignment="1">
      <alignment horizontal="center" vertical="center"/>
    </xf>
    <xf numFmtId="0" fontId="17" fillId="14" borderId="67" xfId="0" applyFont="1" applyFill="1" applyBorder="1" applyAlignment="1">
      <alignment horizontal="center" vertical="center"/>
    </xf>
    <xf numFmtId="0" fontId="23" fillId="32" borderId="17" xfId="0" applyFont="1" applyFill="1" applyBorder="1" applyAlignment="1">
      <alignment horizontal="center" vertical="center"/>
    </xf>
    <xf numFmtId="0" fontId="23" fillId="32" borderId="19" xfId="0" applyFont="1" applyFill="1" applyBorder="1" applyAlignment="1">
      <alignment horizontal="center" vertical="center"/>
    </xf>
    <xf numFmtId="0" fontId="37" fillId="35" borderId="77" xfId="0" applyFont="1" applyFill="1" applyBorder="1" applyAlignment="1">
      <alignment horizontal="center" vertical="center" wrapText="1"/>
    </xf>
    <xf numFmtId="0" fontId="23" fillId="35" borderId="78" xfId="0" applyFont="1" applyFill="1" applyBorder="1" applyAlignment="1">
      <alignment horizontal="center" vertical="center" wrapText="1"/>
    </xf>
    <xf numFmtId="0" fontId="23" fillId="35" borderId="79" xfId="0" applyFont="1" applyFill="1" applyBorder="1" applyAlignment="1">
      <alignment horizontal="center" vertical="center" wrapText="1"/>
    </xf>
    <xf numFmtId="0" fontId="17" fillId="12" borderId="59" xfId="0" applyFont="1" applyFill="1" applyBorder="1" applyAlignment="1">
      <alignment horizontal="center" vertical="center"/>
    </xf>
    <xf numFmtId="0" fontId="17" fillId="14" borderId="22" xfId="0" applyFont="1" applyFill="1" applyBorder="1" applyAlignment="1">
      <alignment horizontal="center" vertical="top" wrapText="1"/>
    </xf>
    <xf numFmtId="0" fontId="17" fillId="14" borderId="24" xfId="0" applyFont="1" applyFill="1" applyBorder="1" applyAlignment="1">
      <alignment horizontal="center" vertical="top" wrapText="1"/>
    </xf>
    <xf numFmtId="0" fontId="17" fillId="14" borderId="27" xfId="0" applyFont="1" applyFill="1" applyBorder="1" applyAlignment="1">
      <alignment horizontal="center" vertical="top" wrapText="1"/>
    </xf>
    <xf numFmtId="0" fontId="17" fillId="13" borderId="35" xfId="0" applyFont="1" applyFill="1" applyBorder="1" applyAlignment="1">
      <alignment horizontal="center" vertical="top" wrapText="1"/>
    </xf>
    <xf numFmtId="0" fontId="17" fillId="13" borderId="36" xfId="0" applyFont="1" applyFill="1" applyBorder="1" applyAlignment="1">
      <alignment horizontal="center" vertical="top" wrapText="1"/>
    </xf>
    <xf numFmtId="0" fontId="17" fillId="13" borderId="37" xfId="0" applyFont="1" applyFill="1" applyBorder="1" applyAlignment="1">
      <alignment horizontal="center" vertical="top" wrapText="1"/>
    </xf>
    <xf numFmtId="0" fontId="17" fillId="8" borderId="21" xfId="0" applyFont="1" applyFill="1" applyBorder="1" applyAlignment="1">
      <alignment horizontal="center" vertical="top" wrapText="1"/>
    </xf>
    <xf numFmtId="0" fontId="17" fillId="8" borderId="1" xfId="0" applyFont="1" applyFill="1" applyBorder="1" applyAlignment="1">
      <alignment horizontal="center" vertical="top" wrapText="1"/>
    </xf>
    <xf numFmtId="0" fontId="17" fillId="8" borderId="26" xfId="0" applyFont="1" applyFill="1" applyBorder="1" applyAlignment="1">
      <alignment horizontal="center" vertical="top" wrapText="1"/>
    </xf>
    <xf numFmtId="0" fontId="15" fillId="5" borderId="60" xfId="0" applyFont="1" applyFill="1" applyBorder="1" applyAlignment="1">
      <alignment horizontal="left" vertical="top" wrapText="1"/>
    </xf>
    <xf numFmtId="0" fontId="15" fillId="5" borderId="62" xfId="0" applyFont="1" applyFill="1" applyBorder="1" applyAlignment="1">
      <alignment horizontal="left" vertical="top" wrapText="1"/>
    </xf>
    <xf numFmtId="0" fontId="11" fillId="9" borderId="16" xfId="0" applyFont="1" applyFill="1" applyBorder="1" applyAlignment="1">
      <alignment horizontal="right" textRotation="90"/>
    </xf>
    <xf numFmtId="0" fontId="11" fillId="9" borderId="18" xfId="0" applyFont="1" applyFill="1" applyBorder="1" applyAlignment="1">
      <alignment horizontal="right" textRotation="90"/>
    </xf>
    <xf numFmtId="0" fontId="11" fillId="10" borderId="17" xfId="0" applyFont="1" applyFill="1" applyBorder="1" applyAlignment="1">
      <alignment horizontal="right" textRotation="90"/>
    </xf>
    <xf numFmtId="0" fontId="11" fillId="10" borderId="19" xfId="0" applyFont="1" applyFill="1" applyBorder="1" applyAlignment="1">
      <alignment horizontal="right" textRotation="90"/>
    </xf>
    <xf numFmtId="0" fontId="23" fillId="32" borderId="33" xfId="0" applyFont="1" applyFill="1" applyBorder="1" applyAlignment="1">
      <alignment horizontal="center" vertical="center"/>
    </xf>
    <xf numFmtId="0" fontId="23" fillId="32" borderId="38" xfId="0" applyFont="1" applyFill="1" applyBorder="1" applyAlignment="1">
      <alignment horizontal="center" vertical="center"/>
    </xf>
    <xf numFmtId="0" fontId="11" fillId="31" borderId="1" xfId="0" quotePrefix="1" applyFont="1" applyFill="1" applyBorder="1" applyAlignment="1">
      <alignment horizontal="left" vertical="top" wrapText="1"/>
    </xf>
    <xf numFmtId="0" fontId="63" fillId="0" borderId="0" xfId="0" applyFont="1" applyAlignment="1">
      <alignment vertical="center"/>
    </xf>
    <xf numFmtId="0" fontId="63" fillId="0" borderId="0" xfId="0" applyFont="1" applyFill="1" applyAlignment="1">
      <alignment vertical="center"/>
    </xf>
    <xf numFmtId="0" fontId="11" fillId="3" borderId="1" xfId="0" applyFont="1" applyFill="1" applyBorder="1" applyAlignment="1">
      <alignment horizontal="left" vertical="center"/>
    </xf>
    <xf numFmtId="14" fontId="11" fillId="3" borderId="1" xfId="0" applyNumberFormat="1" applyFont="1" applyFill="1" applyBorder="1" applyAlignment="1">
      <alignment horizontal="left" vertical="center"/>
    </xf>
    <xf numFmtId="0" fontId="63" fillId="0" borderId="1" xfId="0" applyFont="1" applyFill="1" applyBorder="1" applyAlignment="1">
      <alignment horizontal="left" vertical="center" wrapText="1"/>
    </xf>
    <xf numFmtId="0" fontId="11" fillId="3" borderId="69" xfId="0" applyFont="1" applyFill="1" applyBorder="1" applyAlignment="1">
      <alignment horizontal="left" vertical="center"/>
    </xf>
    <xf numFmtId="0" fontId="11" fillId="3" borderId="70" xfId="0" applyFont="1" applyFill="1" applyBorder="1" applyAlignment="1">
      <alignment horizontal="left" vertical="center"/>
    </xf>
    <xf numFmtId="0" fontId="11" fillId="3" borderId="68" xfId="0" applyFont="1" applyFill="1" applyBorder="1" applyAlignment="1">
      <alignment horizontal="left" vertical="center"/>
    </xf>
    <xf numFmtId="0" fontId="11" fillId="0" borderId="1" xfId="0" applyFont="1" applyFill="1" applyBorder="1" applyAlignment="1">
      <alignment horizontal="left" vertical="center" wrapText="1"/>
    </xf>
    <xf numFmtId="0" fontId="8" fillId="3" borderId="1" xfId="0" applyFont="1" applyFill="1" applyBorder="1" applyAlignment="1">
      <alignment vertical="center"/>
    </xf>
    <xf numFmtId="0" fontId="8" fillId="3" borderId="1" xfId="0" applyFont="1" applyFill="1" applyBorder="1" applyAlignment="1">
      <alignment horizontal="left" vertical="center"/>
    </xf>
    <xf numFmtId="0" fontId="8" fillId="3" borderId="69" xfId="0" applyFont="1" applyFill="1" applyBorder="1" applyAlignment="1">
      <alignment horizontal="left" vertical="center"/>
    </xf>
    <xf numFmtId="0" fontId="8" fillId="3" borderId="70" xfId="0" applyFont="1" applyFill="1" applyBorder="1" applyAlignment="1">
      <alignment horizontal="left" vertical="center"/>
    </xf>
    <xf numFmtId="0" fontId="8" fillId="3" borderId="68" xfId="0" applyFont="1" applyFill="1" applyBorder="1" applyAlignment="1">
      <alignment horizontal="left" vertical="center"/>
    </xf>
  </cellXfs>
  <cellStyles count="4">
    <cellStyle name="Currency" xfId="3" builtinId="4"/>
    <cellStyle name="Hyperlink" xfId="1" builtinId="8"/>
    <cellStyle name="Normal" xfId="0" builtinId="0"/>
    <cellStyle name="Percent" xfId="2" builtinId="5"/>
  </cellStyles>
  <dxfs count="233">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strike/>
        <color theme="0" tint="-0.24994659260841701"/>
      </font>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strike/>
        <color theme="0" tint="-0.24994659260841701"/>
      </font>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strike/>
        <color theme="0" tint="-0.24994659260841701"/>
      </font>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strike/>
        <color theme="0" tint="-0.24994659260841701"/>
      </font>
    </dxf>
    <dxf>
      <font>
        <color theme="0" tint="-0.499984740745262"/>
      </font>
    </dxf>
    <dxf>
      <font>
        <strike/>
        <color theme="0" tint="-0.24994659260841701"/>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strike/>
        <color theme="0" tint="-0.24994659260841701"/>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color theme="0" tint="-0.499984740745262"/>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strike/>
        <color theme="0" tint="-0.24994659260841701"/>
      </font>
    </dxf>
    <dxf>
      <font>
        <b/>
        <i/>
        <color rgb="FFC00000"/>
      </font>
    </dxf>
    <dxf>
      <font>
        <b/>
        <i/>
        <color theme="7" tint="-0.24994659260841701"/>
      </font>
    </dxf>
    <dxf>
      <font>
        <b/>
        <i/>
        <color rgb="FFC00000"/>
      </font>
      <fill>
        <patternFill patternType="none">
          <bgColor auto="1"/>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i/>
        <color rgb="FFC00000"/>
      </font>
    </dxf>
    <dxf>
      <font>
        <b/>
        <i/>
        <color rgb="FFC00000"/>
      </font>
      <fill>
        <patternFill patternType="none">
          <bgColor auto="1"/>
        </patternFill>
      </fill>
    </dxf>
    <dxf>
      <font>
        <b/>
        <i/>
        <color rgb="FFC00000"/>
      </font>
    </dxf>
    <dxf>
      <font>
        <b/>
        <i/>
        <color theme="7" tint="-0.24994659260841701"/>
      </font>
    </dxf>
    <dxf>
      <font>
        <b/>
        <i/>
        <color rgb="FFC00000"/>
      </font>
      <fill>
        <patternFill patternType="none">
          <bgColor auto="1"/>
        </patternFill>
      </fill>
    </dxf>
    <dxf>
      <font>
        <b/>
        <i val="0"/>
        <color rgb="FFC00000"/>
      </font>
    </dxf>
    <dxf>
      <font>
        <b/>
        <i/>
        <color theme="7" tint="-0.24994659260841701"/>
      </font>
    </dxf>
    <dxf>
      <font>
        <b/>
        <i val="0"/>
        <color rgb="FFC00000"/>
      </font>
      <fill>
        <patternFill patternType="none">
          <bgColor auto="1"/>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strike/>
        <color theme="0" tint="-0.24994659260841701"/>
      </font>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BAE18F"/>
        </patternFill>
      </fill>
    </dxf>
    <dxf>
      <font>
        <color auto="1"/>
      </font>
      <fill>
        <patternFill>
          <bgColor rgb="FF00D05E"/>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BAE18F"/>
        </patternFill>
      </fill>
    </dxf>
    <dxf>
      <font>
        <color auto="1"/>
      </font>
      <fill>
        <patternFill>
          <bgColor rgb="FF00D05E"/>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strike/>
        <color theme="0" tint="-0.24994659260841701"/>
      </font>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FFB3B3"/>
        </patternFill>
      </fill>
    </dxf>
    <dxf>
      <font>
        <color auto="1"/>
      </font>
      <fill>
        <patternFill>
          <bgColor rgb="FF00D05E"/>
        </patternFill>
      </fill>
    </dxf>
    <dxf>
      <font>
        <color auto="1"/>
      </font>
      <fill>
        <patternFill>
          <bgColor rgb="FFFFCE33"/>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00D05E"/>
        </patternFill>
      </fill>
    </dxf>
    <dxf>
      <font>
        <color auto="1"/>
      </font>
      <fill>
        <patternFill>
          <bgColor rgb="FFBAE18F"/>
        </patternFill>
      </fill>
    </dxf>
    <dxf>
      <font>
        <color auto="1"/>
      </font>
      <fill>
        <patternFill>
          <bgColor rgb="FFFFB3B3"/>
        </patternFill>
      </fill>
    </dxf>
    <dxf>
      <font>
        <color auto="1"/>
      </font>
      <fill>
        <patternFill>
          <bgColor rgb="FFFFCE33"/>
        </patternFill>
      </fill>
    </dxf>
    <dxf>
      <font>
        <color auto="1"/>
      </font>
      <fill>
        <patternFill>
          <bgColor rgb="FFBAE18F"/>
        </patternFill>
      </fill>
    </dxf>
    <dxf>
      <font>
        <color auto="1"/>
      </font>
      <fill>
        <patternFill>
          <bgColor rgb="FF00D05E"/>
        </patternFill>
      </fill>
    </dxf>
    <dxf>
      <font>
        <color auto="1"/>
      </font>
      <fill>
        <patternFill>
          <bgColor rgb="FFBAE18F"/>
        </patternFill>
      </fill>
    </dxf>
    <dxf>
      <font>
        <color auto="1"/>
      </font>
      <fill>
        <patternFill>
          <bgColor rgb="FFFFCE33"/>
        </patternFill>
      </fill>
    </dxf>
    <dxf>
      <font>
        <color auto="1"/>
      </font>
      <fill>
        <patternFill>
          <bgColor rgb="FFFFB3B3"/>
        </patternFill>
      </fill>
    </dxf>
    <dxf>
      <font>
        <color auto="1"/>
      </font>
      <fill>
        <patternFill>
          <bgColor rgb="FF00D05E"/>
        </patternFill>
      </fill>
    </dxf>
    <dxf>
      <font>
        <strike/>
        <color theme="0" tint="-0.24994659260841701"/>
      </font>
    </dxf>
    <dxf>
      <font>
        <strike/>
        <color theme="0" tint="-0.24994659260841701"/>
      </font>
    </dxf>
    <dxf>
      <font>
        <color theme="0" tint="-0.499984740745262"/>
      </font>
    </dxf>
    <dxf>
      <font>
        <color theme="0" tint="-0.499984740745262"/>
      </font>
    </dxf>
    <dxf>
      <font>
        <strike/>
        <color theme="0" tint="-0.24994659260841701"/>
      </font>
    </dxf>
    <dxf>
      <font>
        <strike/>
        <color theme="0" tint="-0.24994659260841701"/>
      </font>
    </dxf>
    <dxf>
      <font>
        <strike/>
        <color theme="0" tint="-0.24994659260841701"/>
      </font>
    </dxf>
    <dxf>
      <font>
        <strike/>
        <color theme="0" tint="-0.24994659260841701"/>
      </font>
    </dxf>
    <dxf>
      <font>
        <color theme="0" tint="-4.9989318521683403E-2"/>
      </font>
      <fill>
        <patternFill>
          <bgColor theme="0" tint="-4.9989318521683403E-2"/>
        </patternFill>
      </fill>
    </dxf>
    <dxf>
      <font>
        <color theme="0" tint="-0.34998626667073579"/>
      </font>
      <fill>
        <patternFill>
          <bgColor theme="0"/>
        </patternFill>
      </fill>
    </dxf>
    <dxf>
      <font>
        <color theme="0" tint="-0.34998626667073579"/>
      </font>
    </dxf>
    <dxf>
      <font>
        <color theme="0" tint="-0.34998626667073579"/>
      </font>
    </dxf>
  </dxfs>
  <tableStyles count="0" defaultTableStyle="TableStyleMedium2" defaultPivotStyle="PivotStyleLight16"/>
  <colors>
    <mruColors>
      <color rgb="FFFF7D7D"/>
      <color rgb="FFBDD7EE"/>
      <color rgb="FFFFF7E1"/>
      <color rgb="FFFFE699"/>
      <color rgb="FF595959"/>
      <color rgb="FFFDFDFD"/>
      <color rgb="FFFEFEFE"/>
      <color rgb="FFF5F5F5"/>
      <color rgb="FF9F182F"/>
      <color rgb="FF512D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Results!$C$7:$C$13</c:f>
              <c:strCache>
                <c:ptCount val="7"/>
                <c:pt idx="0">
                  <c:v>1. Green and vibrant streets that are welcoming places to spend time in</c:v>
                </c:pt>
                <c:pt idx="1">
                  <c:v>2. An attractive and inclusive walking and wheeling environment</c:v>
                </c:pt>
                <c:pt idx="2">
                  <c:v>3. A safe, convenient, and attractive cycling experience</c:v>
                </c:pt>
                <c:pt idx="3">
                  <c:v>4. A reliable, integrated, and accessible public transport network</c:v>
                </c:pt>
                <c:pt idx="4">
                  <c:v>5. Goods delivered on time with minimal impact on local communities</c:v>
                </c:pt>
                <c:pt idx="5">
                  <c:v>6. Streets that enable people to drive less</c:v>
                </c:pt>
                <c:pt idx="6">
                  <c:v>7. A future-proofed street network</c:v>
                </c:pt>
              </c:strCache>
            </c:strRef>
          </c:cat>
          <c:val>
            <c:numRef>
              <c:f>Results!$G$7:$G$13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F6-4E0F-AE20-C1D5390F0113}"/>
            </c:ext>
          </c:extLst>
        </c:ser>
        <c:ser>
          <c:idx val="1"/>
          <c:order val="1"/>
          <c:tx>
            <c:strRef>
              <c:f>Results!$I$5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Results!$C$7:$C$13</c:f>
              <c:strCache>
                <c:ptCount val="7"/>
                <c:pt idx="0">
                  <c:v>1. Green and vibrant streets that are welcoming places to spend time in</c:v>
                </c:pt>
                <c:pt idx="1">
                  <c:v>2. An attractive and inclusive walking and wheeling environment</c:v>
                </c:pt>
                <c:pt idx="2">
                  <c:v>3. A safe, convenient, and attractive cycling experience</c:v>
                </c:pt>
                <c:pt idx="3">
                  <c:v>4. A reliable, integrated, and accessible public transport network</c:v>
                </c:pt>
                <c:pt idx="4">
                  <c:v>5. Goods delivered on time with minimal impact on local communities</c:v>
                </c:pt>
                <c:pt idx="5">
                  <c:v>6. Streets that enable people to drive less</c:v>
                </c:pt>
                <c:pt idx="6">
                  <c:v>7. A future-proofed street network</c:v>
                </c:pt>
              </c:strCache>
            </c:strRef>
          </c:cat>
          <c:val>
            <c:numRef>
              <c:f>Results!$K$7:$K$13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EF6-4E0F-AE20-C1D5390F0113}"/>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extLst>
                <c:ext xmlns:c15="http://schemas.microsoft.com/office/drawing/2012/chart" uri="{02D57815-91ED-43cb-92C2-25804820EDAC}">
                  <c15:fullRef>
                    <c15:sqref>'Results (health)'!$C$7:$C$13</c15:sqref>
                  </c15:fullRef>
                </c:ext>
              </c:extLst>
              <c:f>'Results (health)'!$C$7:$C$12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extLst>
                <c:ext xmlns:c15="http://schemas.microsoft.com/office/drawing/2012/chart" uri="{02D57815-91ED-43cb-92C2-25804820EDAC}">
                  <c15:fullRef>
                    <c15:sqref>'Results (health)'!$G$7:$G$13</c15:sqref>
                  </c15:fullRef>
                </c:ext>
              </c:extLst>
              <c:f>'Results (health)'!$G$7:$G$12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393-4EA4-BAE9-0DBFCA5C2BC5}"/>
            </c:ext>
          </c:extLst>
        </c:ser>
        <c:ser>
          <c:idx val="1"/>
          <c:order val="1"/>
          <c:tx>
            <c:strRef>
              <c:f>'Results (health)'!$I$5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extLst>
                <c:ext xmlns:c15="http://schemas.microsoft.com/office/drawing/2012/chart" uri="{02D57815-91ED-43cb-92C2-25804820EDAC}">
                  <c15:fullRef>
                    <c15:sqref>'Results (health)'!$C$7:$C$13</c15:sqref>
                  </c15:fullRef>
                </c:ext>
              </c:extLst>
              <c:f>'Results (health)'!$C$7:$C$12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extLst>
                <c:ext xmlns:c15="http://schemas.microsoft.com/office/drawing/2012/chart" uri="{02D57815-91ED-43cb-92C2-25804820EDAC}">
                  <c15:fullRef>
                    <c15:sqref>'Results (health)'!$K$7:$K$13</c15:sqref>
                  </c15:fullRef>
                </c:ext>
              </c:extLst>
              <c:f>'Results (health)'!$K$7:$K$12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393-4EA4-BAE9-0DBFCA5C2BC5}"/>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 health'!$C$7:$C$13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health'!$G$7:$G$13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156-40E1-8DB0-D756D9F98FA9}"/>
            </c:ext>
          </c:extLst>
        </c:ser>
        <c:ser>
          <c:idx val="1"/>
          <c:order val="1"/>
          <c:tx>
            <c:strRef>
              <c:f>'Results health'!$I$5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 health'!$C$7:$C$13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health'!$K$7:$K$13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7156-40E1-8DB0-D756D9F98FA9}"/>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6728430926578"/>
          <c:y val="0.17551190648394341"/>
          <c:w val="0.67474468104799223"/>
          <c:h val="0.70216466322135807"/>
        </c:manualLayout>
      </c:layout>
      <c:radarChart>
        <c:radarStyle val="marker"/>
        <c:varyColors val="0"/>
        <c:ser>
          <c:idx val="0"/>
          <c:order val="0"/>
          <c:tx>
            <c:strRef>
              <c:f>'Results (health)'!$E$5</c:f>
              <c:strCache>
                <c:ptCount val="1"/>
                <c:pt idx="0">
                  <c:v>Existing Layout</c:v>
                </c:pt>
              </c:strCache>
            </c:strRef>
          </c:tx>
          <c:spPr>
            <a:ln w="28575" cap="rnd">
              <a:solidFill>
                <a:schemeClr val="accent1"/>
              </a:solidFill>
              <a:round/>
            </a:ln>
            <a:effectLst/>
          </c:spPr>
          <c:marker>
            <c:symbol val="circle"/>
            <c:size val="5"/>
            <c:spPr>
              <a:solidFill>
                <a:srgbClr val="DEA900"/>
              </a:solidFill>
              <a:ln w="9525">
                <a:solidFill>
                  <a:schemeClr val="tx2"/>
                </a:solidFill>
              </a:ln>
              <a:effectLst/>
            </c:spPr>
          </c:marker>
          <c:dLbls>
            <c:delete val="1"/>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(health)'!$X$7:$X$13</c:f>
            </c:numRef>
          </c:val>
          <c:extLst>
            <c:ext xmlns:c16="http://schemas.microsoft.com/office/drawing/2014/chart" uri="{C3380CC4-5D6E-409C-BE32-E72D297353CC}">
              <c16:uniqueId val="{00000000-A74E-45F9-8C6F-998CC3FC772C}"/>
            </c:ext>
          </c:extLst>
        </c:ser>
        <c:ser>
          <c:idx val="1"/>
          <c:order val="1"/>
          <c:tx>
            <c:strRef>
              <c:f>'Results (health)'!$I$5</c:f>
              <c:strCache>
                <c:ptCount val="1"/>
                <c:pt idx="0">
                  <c:v>Proposed Layout </c:v>
                </c:pt>
              </c:strCache>
            </c:strRef>
          </c:tx>
          <c:spPr>
            <a:ln w="28575" cap="rnd">
              <a:solidFill>
                <a:schemeClr val="accent2"/>
              </a:solidFill>
              <a:round/>
            </a:ln>
            <a:effectLst/>
          </c:spPr>
          <c:marker>
            <c:symbol val="circle"/>
            <c:size val="5"/>
            <c:spPr>
              <a:solidFill>
                <a:srgbClr val="00B050"/>
              </a:solidFill>
              <a:ln w="9525">
                <a:solidFill>
                  <a:schemeClr val="tx2"/>
                </a:solidFill>
              </a:ln>
              <a:effectLst/>
            </c:spPr>
          </c:marker>
          <c:dLbls>
            <c:delete val="1"/>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(health)'!$AB$7:$AB$13</c:f>
            </c:numRef>
          </c:val>
          <c:extLst>
            <c:ext xmlns:c16="http://schemas.microsoft.com/office/drawing/2014/chart" uri="{C3380CC4-5D6E-409C-BE32-E72D297353CC}">
              <c16:uniqueId val="{00000001-A74E-45F9-8C6F-998CC3FC772C}"/>
            </c:ext>
          </c:extLst>
        </c:ser>
        <c:ser>
          <c:idx val="2"/>
          <c:order val="2"/>
          <c:tx>
            <c:strRef>
              <c:f>'Results health'!$V$5</c:f>
              <c:strCache>
                <c:ptCount val="1"/>
                <c:pt idx="0">
                  <c:v>Existing layout</c:v>
                </c:pt>
              </c:strCache>
            </c:strRef>
          </c:tx>
          <c:spPr>
            <a:ln w="28575" cap="rnd">
              <a:solidFill>
                <a:schemeClr val="accent4">
                  <a:lumMod val="75000"/>
                </a:schemeClr>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health'!$T$7:$T$12</c:f>
              <c:strCache>
                <c:ptCount val="6"/>
                <c:pt idx="0">
                  <c:v>Makes me feel safe and welcome</c:v>
                </c:pt>
                <c:pt idx="1">
                  <c:v>Encourages walking and wheeling</c:v>
                </c:pt>
                <c:pt idx="2">
                  <c:v>Encourages cycling</c:v>
                </c:pt>
                <c:pt idx="3">
                  <c:v>Improves my mental health</c:v>
                </c:pt>
                <c:pt idx="4">
                  <c:v>Helps me to be fit and active</c:v>
                </c:pt>
                <c:pt idx="5">
                  <c:v>Reduces risks from pollution and noise</c:v>
                </c:pt>
              </c:strCache>
            </c:strRef>
          </c:cat>
          <c:val>
            <c:numRef>
              <c:f>'Results health'!$X$7:$X$12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B89-4901-8727-C34090BFAF2B}"/>
            </c:ext>
          </c:extLst>
        </c:ser>
        <c:ser>
          <c:idx val="3"/>
          <c:order val="3"/>
          <c:tx>
            <c:strRef>
              <c:f>'Results health'!$Z$5</c:f>
              <c:strCache>
                <c:ptCount val="1"/>
                <c:pt idx="0">
                  <c:v>Proposed layout </c:v>
                </c:pt>
              </c:strCache>
            </c:strRef>
          </c:tx>
          <c:spPr>
            <a:ln w="28575" cap="rnd">
              <a:solidFill>
                <a:schemeClr val="accent6">
                  <a:lumMod val="75000"/>
                </a:schemeClr>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 health'!$AB$7:$AB$12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B93-4D9D-AB3E-E55A9AA40011}"/>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0346469682944"/>
          <c:y val="0.17551195139278769"/>
          <c:w val="0.67474468104799223"/>
          <c:h val="0.70216466322135807"/>
        </c:manualLayout>
      </c:layout>
      <c:radarChart>
        <c:radarStyle val="marker"/>
        <c:varyColors val="0"/>
        <c:ser>
          <c:idx val="0"/>
          <c:order val="0"/>
          <c:tx>
            <c:strRef>
              <c:f>'Results (people)'!$E$5</c:f>
              <c:strCache>
                <c:ptCount val="1"/>
                <c:pt idx="0">
                  <c:v>Existing Layout</c:v>
                </c:pt>
              </c:strCache>
            </c:strRef>
          </c:tx>
          <c:spPr>
            <a:ln w="28575" cap="rnd">
              <a:solidFill>
                <a:srgbClr val="DEA900"/>
              </a:solidFill>
              <a:round/>
            </a:ln>
            <a:effectLst/>
          </c:spPr>
          <c:marker>
            <c:symbol val="circle"/>
            <c:size val="5"/>
            <c:spPr>
              <a:solidFill>
                <a:srgbClr val="DEA900"/>
              </a:solidFill>
              <a:ln w="9525">
                <a:solidFill>
                  <a:schemeClr val="tx2"/>
                </a:solidFill>
              </a:ln>
              <a:effectLst/>
            </c:spPr>
          </c:marker>
          <c:dLbls>
            <c:delete val="1"/>
          </c:dLbls>
          <c:cat>
            <c:strRef>
              <c:f>'Results (people)'!$C$7:$C$13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(people)'!$G$7:$G$13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06E-47B3-8541-176AB89FF54C}"/>
            </c:ext>
          </c:extLst>
        </c:ser>
        <c:ser>
          <c:idx val="1"/>
          <c:order val="1"/>
          <c:tx>
            <c:strRef>
              <c:f>'Results (people)'!$I$5</c:f>
              <c:strCache>
                <c:ptCount val="1"/>
                <c:pt idx="0">
                  <c:v>Proposed Layout </c:v>
                </c:pt>
              </c:strCache>
            </c:strRef>
          </c:tx>
          <c:spPr>
            <a:ln w="28575" cap="rnd">
              <a:solidFill>
                <a:srgbClr val="00B050"/>
              </a:solidFill>
              <a:round/>
            </a:ln>
            <a:effectLst/>
          </c:spPr>
          <c:marker>
            <c:symbol val="circle"/>
            <c:size val="5"/>
            <c:spPr>
              <a:solidFill>
                <a:srgbClr val="00B050"/>
              </a:solidFill>
              <a:ln w="9525">
                <a:solidFill>
                  <a:schemeClr val="tx2"/>
                </a:solidFill>
              </a:ln>
              <a:effectLst/>
            </c:spPr>
          </c:marker>
          <c:dLbls>
            <c:delete val="1"/>
          </c:dLbls>
          <c:cat>
            <c:strRef>
              <c:f>'Results (people)'!$C$7:$C$13</c:f>
              <c:strCache>
                <c:ptCount val="7"/>
                <c:pt idx="0">
                  <c:v>Children</c:v>
                </c:pt>
                <c:pt idx="1">
                  <c:v>Women</c:v>
                </c:pt>
                <c:pt idx="2">
                  <c:v>Public transport users</c:v>
                </c:pt>
                <c:pt idx="3">
                  <c:v>Older adults</c:v>
                </c:pt>
                <c:pt idx="4">
                  <c:v>People with mobility impairments</c:v>
                </c:pt>
                <c:pt idx="5">
                  <c:v>People with visual/ sensory impairments</c:v>
                </c:pt>
                <c:pt idx="6">
                  <c:v>People with underlying health problems</c:v>
                </c:pt>
              </c:strCache>
            </c:strRef>
          </c:cat>
          <c:val>
            <c:numRef>
              <c:f>'Results (people)'!$K$7:$K$13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06E-47B3-8541-176AB89FF54C}"/>
            </c:ext>
          </c:extLst>
        </c:ser>
        <c:dLbls>
          <c:showLegendKey val="0"/>
          <c:showVal val="1"/>
          <c:showCatName val="0"/>
          <c:showSerName val="0"/>
          <c:showPercent val="0"/>
          <c:showBubbleSize val="0"/>
        </c:dLbls>
        <c:axId val="303212600"/>
        <c:axId val="303211424"/>
      </c:radarChart>
      <c:catAx>
        <c:axId val="3032126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3211424"/>
        <c:crosses val="autoZero"/>
        <c:auto val="1"/>
        <c:lblAlgn val="ctr"/>
        <c:lblOffset val="100"/>
        <c:noMultiLvlLbl val="0"/>
      </c:catAx>
      <c:valAx>
        <c:axId val="30321142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0321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pn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chart" Target="../charts/chart3.xml"/><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317528</xdr:colOff>
      <xdr:row>9</xdr:row>
      <xdr:rowOff>76200</xdr:rowOff>
    </xdr:from>
    <xdr:to>
      <xdr:col>13</xdr:col>
      <xdr:colOff>745391</xdr:colOff>
      <xdr:row>15</xdr:row>
      <xdr:rowOff>71840</xdr:rowOff>
    </xdr:to>
    <xdr:pic>
      <xdr:nvPicPr>
        <xdr:cNvPr id="6" name="Picture 5" descr="Greater Manchester Combined Authority (GMCA) Logo Vector">
          <a:extLst>
            <a:ext uri="{FF2B5EF4-FFF2-40B4-BE49-F238E27FC236}">
              <a16:creationId xmlns:a16="http://schemas.microsoft.com/office/drawing/2014/main" id="{6CDD3348-05B3-F21E-9A2B-4C48A9CA5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46728" y="1250950"/>
          <a:ext cx="1405763" cy="87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11546</xdr:colOff>
      <xdr:row>2</xdr:row>
      <xdr:rowOff>57727</xdr:rowOff>
    </xdr:from>
    <xdr:to>
      <xdr:col>3</xdr:col>
      <xdr:colOff>480742</xdr:colOff>
      <xdr:row>19</xdr:row>
      <xdr:rowOff>23091</xdr:rowOff>
    </xdr:to>
    <xdr:pic>
      <xdr:nvPicPr>
        <xdr:cNvPr id="9" name="Picture 8">
          <a:extLst>
            <a:ext uri="{FF2B5EF4-FFF2-40B4-BE49-F238E27FC236}">
              <a16:creationId xmlns:a16="http://schemas.microsoft.com/office/drawing/2014/main" id="{03048944-BDEF-84DB-5346-0767C3B330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55" y="213591"/>
          <a:ext cx="1213878" cy="2418773"/>
        </a:xfrm>
        <a:prstGeom prst="rect">
          <a:avLst/>
        </a:prstGeom>
      </xdr:spPr>
    </xdr:pic>
    <xdr:clientData/>
  </xdr:twoCellAnchor>
  <xdr:twoCellAnchor editAs="oneCell">
    <xdr:from>
      <xdr:col>3</xdr:col>
      <xdr:colOff>456041</xdr:colOff>
      <xdr:row>2</xdr:row>
      <xdr:rowOff>86591</xdr:rowOff>
    </xdr:from>
    <xdr:to>
      <xdr:col>7</xdr:col>
      <xdr:colOff>301223</xdr:colOff>
      <xdr:row>19</xdr:row>
      <xdr:rowOff>32824</xdr:rowOff>
    </xdr:to>
    <xdr:pic>
      <xdr:nvPicPr>
        <xdr:cNvPr id="11" name="Picture 10">
          <a:extLst>
            <a:ext uri="{FF2B5EF4-FFF2-40B4-BE49-F238E27FC236}">
              <a16:creationId xmlns:a16="http://schemas.microsoft.com/office/drawing/2014/main" id="{267C81FD-D7FE-DCAA-D3B5-B1EE09C7CC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1132" y="242455"/>
          <a:ext cx="2436559" cy="2399642"/>
        </a:xfrm>
        <a:prstGeom prst="rect">
          <a:avLst/>
        </a:prstGeom>
      </xdr:spPr>
    </xdr:pic>
    <xdr:clientData/>
  </xdr:twoCellAnchor>
  <xdr:twoCellAnchor editAs="oneCell">
    <xdr:from>
      <xdr:col>7</xdr:col>
      <xdr:colOff>421320</xdr:colOff>
      <xdr:row>2</xdr:row>
      <xdr:rowOff>80727</xdr:rowOff>
    </xdr:from>
    <xdr:to>
      <xdr:col>10</xdr:col>
      <xdr:colOff>97763</xdr:colOff>
      <xdr:row>19</xdr:row>
      <xdr:rowOff>57728</xdr:rowOff>
    </xdr:to>
    <xdr:pic>
      <xdr:nvPicPr>
        <xdr:cNvPr id="13" name="Picture 12">
          <a:extLst>
            <a:ext uri="{FF2B5EF4-FFF2-40B4-BE49-F238E27FC236}">
              <a16:creationId xmlns:a16="http://schemas.microsoft.com/office/drawing/2014/main" id="{8CB89F30-8F9A-BB1A-5DB6-F626F3AEEE6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0723"/>
        <a:stretch/>
      </xdr:blipFill>
      <xdr:spPr>
        <a:xfrm>
          <a:off x="3677138" y="236591"/>
          <a:ext cx="1298580" cy="2430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145383</xdr:colOff>
      <xdr:row>14</xdr:row>
      <xdr:rowOff>110289</xdr:rowOff>
    </xdr:from>
    <xdr:to>
      <xdr:col>14</xdr:col>
      <xdr:colOff>1473201</xdr:colOff>
      <xdr:row>15</xdr:row>
      <xdr:rowOff>485065</xdr:rowOff>
    </xdr:to>
    <xdr:pic>
      <xdr:nvPicPr>
        <xdr:cNvPr id="104" name="Picture 1">
          <a:extLst>
            <a:ext uri="{FF2B5EF4-FFF2-40B4-BE49-F238E27FC236}">
              <a16:creationId xmlns:a16="http://schemas.microsoft.com/office/drawing/2014/main" id="{045D596D-D517-0AC2-433C-DB99BCF5C009}"/>
            </a:ext>
          </a:extLst>
        </xdr:cNvPr>
        <xdr:cNvPicPr>
          <a:picLocks noChangeAspect="1"/>
        </xdr:cNvPicPr>
      </xdr:nvPicPr>
      <xdr:blipFill>
        <a:blip xmlns:r="http://schemas.openxmlformats.org/officeDocument/2006/relationships" r:embed="rId1"/>
        <a:stretch>
          <a:fillRect/>
        </a:stretch>
      </xdr:blipFill>
      <xdr:spPr>
        <a:xfrm>
          <a:off x="12688304" y="3278605"/>
          <a:ext cx="1477043" cy="584326"/>
        </a:xfrm>
        <a:prstGeom prst="rect">
          <a:avLst/>
        </a:prstGeom>
      </xdr:spPr>
    </xdr:pic>
    <xdr:clientData/>
  </xdr:twoCellAnchor>
  <xdr:twoCellAnchor>
    <xdr:from>
      <xdr:col>12</xdr:col>
      <xdr:colOff>57929</xdr:colOff>
      <xdr:row>10</xdr:row>
      <xdr:rowOff>162813</xdr:rowOff>
    </xdr:from>
    <xdr:to>
      <xdr:col>21</xdr:col>
      <xdr:colOff>0</xdr:colOff>
      <xdr:row>49</xdr:row>
      <xdr:rowOff>0</xdr:rowOff>
    </xdr:to>
    <xdr:grpSp>
      <xdr:nvGrpSpPr>
        <xdr:cNvPr id="105" name="Group 2">
          <a:extLst>
            <a:ext uri="{FF2B5EF4-FFF2-40B4-BE49-F238E27FC236}">
              <a16:creationId xmlns:a16="http://schemas.microsoft.com/office/drawing/2014/main" id="{C5CB40D2-8839-4512-98B1-7A3F8EC586F7}"/>
            </a:ext>
          </a:extLst>
        </xdr:cNvPr>
        <xdr:cNvGrpSpPr/>
      </xdr:nvGrpSpPr>
      <xdr:grpSpPr>
        <a:xfrm>
          <a:off x="11776565" y="2575813"/>
          <a:ext cx="9328526" cy="8888823"/>
          <a:chOff x="11610394" y="1791226"/>
          <a:chExt cx="8977213" cy="8381311"/>
        </a:xfrm>
      </xdr:grpSpPr>
      <xdr:grpSp>
        <xdr:nvGrpSpPr>
          <xdr:cNvPr id="106" name="Group 26">
            <a:extLst>
              <a:ext uri="{FF2B5EF4-FFF2-40B4-BE49-F238E27FC236}">
                <a16:creationId xmlns:a16="http://schemas.microsoft.com/office/drawing/2014/main" id="{CA6949F1-043F-43BA-8579-F6B555E7FBB9}"/>
              </a:ext>
            </a:extLst>
          </xdr:cNvPr>
          <xdr:cNvGrpSpPr/>
        </xdr:nvGrpSpPr>
        <xdr:grpSpPr>
          <a:xfrm>
            <a:off x="11610394" y="1791226"/>
            <a:ext cx="8977213" cy="8381311"/>
            <a:chOff x="10677432" y="606000"/>
            <a:chExt cx="8332453" cy="7624460"/>
          </a:xfrm>
        </xdr:grpSpPr>
        <xdr:sp macro="" textlink="">
          <xdr:nvSpPr>
            <xdr:cNvPr id="107" name="Oval 23">
              <a:extLst>
                <a:ext uri="{FF2B5EF4-FFF2-40B4-BE49-F238E27FC236}">
                  <a16:creationId xmlns:a16="http://schemas.microsoft.com/office/drawing/2014/main" id="{0D6A227E-7724-4785-ACCB-F692ADA71CB3}"/>
                </a:ext>
              </a:extLst>
            </xdr:cNvPr>
            <xdr:cNvSpPr>
              <a:spLocks noChangeAspect="1"/>
            </xdr:cNvSpPr>
          </xdr:nvSpPr>
          <xdr:spPr>
            <a:xfrm>
              <a:off x="14572706" y="902391"/>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08" name="Chart 6">
              <a:extLst>
                <a:ext uri="{FF2B5EF4-FFF2-40B4-BE49-F238E27FC236}">
                  <a16:creationId xmlns:a16="http://schemas.microsoft.com/office/drawing/2014/main" id="{05258B15-2E73-4AA1-BCB5-0989D9E665C1}"/>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2"/>
            </a:graphicData>
          </a:graphic>
        </xdr:graphicFrame>
        <xdr:sp macro="" textlink="$D$10">
          <xdr:nvSpPr>
            <xdr:cNvPr id="109" name="Oval 16">
              <a:extLst>
                <a:ext uri="{FF2B5EF4-FFF2-40B4-BE49-F238E27FC236}">
                  <a16:creationId xmlns:a16="http://schemas.microsoft.com/office/drawing/2014/main" id="{F756CEBB-3B1F-42CC-B385-73AC1EA68B32}"/>
                </a:ext>
              </a:extLst>
            </xdr:cNvPr>
            <xdr:cNvSpPr>
              <a:spLocks noChangeAspect="1"/>
            </xdr:cNvSpPr>
          </xdr:nvSpPr>
          <xdr:spPr>
            <a:xfrm>
              <a:off x="16087463" y="6983555"/>
              <a:ext cx="824467" cy="820656"/>
            </a:xfrm>
            <a:prstGeom prst="ellipse">
              <a:avLst/>
            </a:prstGeom>
            <a:solidFill>
              <a:srgbClr val="076E48"/>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3">
          <xdr:nvSpPr>
            <xdr:cNvPr id="110" name="Oval 17">
              <a:extLst>
                <a:ext uri="{FF2B5EF4-FFF2-40B4-BE49-F238E27FC236}">
                  <a16:creationId xmlns:a16="http://schemas.microsoft.com/office/drawing/2014/main" id="{7E936614-EFDC-4609-A9ED-87AA7BED206E}"/>
                </a:ext>
              </a:extLst>
            </xdr:cNvPr>
            <xdr:cNvSpPr>
              <a:spLocks noChangeAspect="1"/>
            </xdr:cNvSpPr>
          </xdr:nvSpPr>
          <xdr:spPr>
            <a:xfrm>
              <a:off x="12139795" y="2215338"/>
              <a:ext cx="818972" cy="820656"/>
            </a:xfrm>
            <a:prstGeom prst="ellipse">
              <a:avLst/>
            </a:prstGeom>
            <a:solidFill>
              <a:srgbClr val="9F182F"/>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11" name="Oval 20">
              <a:extLst>
                <a:ext uri="{FF2B5EF4-FFF2-40B4-BE49-F238E27FC236}">
                  <a16:creationId xmlns:a16="http://schemas.microsoft.com/office/drawing/2014/main" id="{C7F5C78C-1EE4-43F4-B946-BA1550E920A0}"/>
                </a:ext>
              </a:extLst>
            </xdr:cNvPr>
            <xdr:cNvSpPr>
              <a:spLocks noChangeAspect="1"/>
            </xdr:cNvSpPr>
          </xdr:nvSpPr>
          <xdr:spPr>
            <a:xfrm>
              <a:off x="17778062" y="490292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12" name="Oval 21">
              <a:extLst>
                <a:ext uri="{FF2B5EF4-FFF2-40B4-BE49-F238E27FC236}">
                  <a16:creationId xmlns:a16="http://schemas.microsoft.com/office/drawing/2014/main" id="{04ADBC35-B95D-4C2A-B0EC-63C5DBFBE066}"/>
                </a:ext>
              </a:extLst>
            </xdr:cNvPr>
            <xdr:cNvSpPr>
              <a:spLocks noChangeAspect="1"/>
            </xdr:cNvSpPr>
          </xdr:nvSpPr>
          <xdr:spPr>
            <a:xfrm>
              <a:off x="13207456" y="6994554"/>
              <a:ext cx="817889" cy="820656"/>
            </a:xfrm>
            <a:prstGeom prst="ellipse">
              <a:avLst/>
            </a:prstGeom>
            <a:solidFill>
              <a:srgbClr val="FBB715"/>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13" name="Oval 22">
              <a:extLst>
                <a:ext uri="{FF2B5EF4-FFF2-40B4-BE49-F238E27FC236}">
                  <a16:creationId xmlns:a16="http://schemas.microsoft.com/office/drawing/2014/main" id="{3279EC31-9F68-4389-91D2-2906E730FDF4}"/>
                </a:ext>
              </a:extLst>
            </xdr:cNvPr>
            <xdr:cNvSpPr>
              <a:spLocks noChangeAspect="1"/>
            </xdr:cNvSpPr>
          </xdr:nvSpPr>
          <xdr:spPr>
            <a:xfrm>
              <a:off x="17094061" y="2198341"/>
              <a:ext cx="818974" cy="820656"/>
            </a:xfrm>
            <a:prstGeom prst="ellipse">
              <a:avLst/>
            </a:prstGeom>
            <a:solidFill>
              <a:srgbClr val="233977"/>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14" name="Oval 24">
              <a:extLst>
                <a:ext uri="{FF2B5EF4-FFF2-40B4-BE49-F238E27FC236}">
                  <a16:creationId xmlns:a16="http://schemas.microsoft.com/office/drawing/2014/main" id="{647267E7-2DC3-4204-8EB5-794DAE055084}"/>
                </a:ext>
              </a:extLst>
            </xdr:cNvPr>
            <xdr:cNvSpPr>
              <a:spLocks noChangeAspect="1"/>
            </xdr:cNvSpPr>
          </xdr:nvSpPr>
          <xdr:spPr>
            <a:xfrm>
              <a:off x="11482714" y="4927411"/>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115" name="TextBox 30">
            <a:extLst>
              <a:ext uri="{FF2B5EF4-FFF2-40B4-BE49-F238E27FC236}">
                <a16:creationId xmlns:a16="http://schemas.microsoft.com/office/drawing/2014/main" id="{BA80575E-3456-42C6-A749-690E3DB4419D}"/>
              </a:ext>
            </a:extLst>
          </xdr:cNvPr>
          <xdr:cNvSpPr txBox="1"/>
        </xdr:nvSpPr>
        <xdr:spPr>
          <a:xfrm>
            <a:off x="18816585" y="7445065"/>
            <a:ext cx="1302789" cy="1154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safe, convenient, and attractive cycling experience</a:t>
            </a:r>
          </a:p>
        </xdr:txBody>
      </xdr:sp>
      <xdr:sp macro="" textlink="">
        <xdr:nvSpPr>
          <xdr:cNvPr id="116" name="TextBox 31">
            <a:extLst>
              <a:ext uri="{FF2B5EF4-FFF2-40B4-BE49-F238E27FC236}">
                <a16:creationId xmlns:a16="http://schemas.microsoft.com/office/drawing/2014/main" id="{786910E8-CA64-47E2-ADC5-B7D5946D54BE}"/>
              </a:ext>
            </a:extLst>
          </xdr:cNvPr>
          <xdr:cNvSpPr txBox="1"/>
        </xdr:nvSpPr>
        <xdr:spPr>
          <a:xfrm>
            <a:off x="18553576" y="8861083"/>
            <a:ext cx="1646579" cy="1068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reliable, integrated, and accessible public transport network</a:t>
            </a:r>
          </a:p>
        </xdr:txBody>
      </xdr:sp>
      <xdr:sp macro="" textlink="">
        <xdr:nvSpPr>
          <xdr:cNvPr id="117" name="TextBox 32">
            <a:extLst>
              <a:ext uri="{FF2B5EF4-FFF2-40B4-BE49-F238E27FC236}">
                <a16:creationId xmlns:a16="http://schemas.microsoft.com/office/drawing/2014/main" id="{2878CF6E-B565-4F3A-940D-A3C98EA00830}"/>
              </a:ext>
            </a:extLst>
          </xdr:cNvPr>
          <xdr:cNvSpPr txBox="1"/>
        </xdr:nvSpPr>
        <xdr:spPr>
          <a:xfrm>
            <a:off x="12601234" y="8621190"/>
            <a:ext cx="1659828" cy="107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Goods delivered on time with minimal impact on local communities</a:t>
            </a:r>
          </a:p>
        </xdr:txBody>
      </xdr:sp>
      <xdr:sp macro="" textlink="">
        <xdr:nvSpPr>
          <xdr:cNvPr id="118" name="TextBox 33">
            <a:extLst>
              <a:ext uri="{FF2B5EF4-FFF2-40B4-BE49-F238E27FC236}">
                <a16:creationId xmlns:a16="http://schemas.microsoft.com/office/drawing/2014/main" id="{1807C3EC-AC04-4F3C-AA72-8C4C55A50983}"/>
              </a:ext>
            </a:extLst>
          </xdr:cNvPr>
          <xdr:cNvSpPr txBox="1"/>
        </xdr:nvSpPr>
        <xdr:spPr>
          <a:xfrm>
            <a:off x="12459264" y="7363509"/>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Streets that enable people to drive less</a:t>
            </a:r>
          </a:p>
        </xdr:txBody>
      </xdr:sp>
      <xdr:sp macro="" textlink="">
        <xdr:nvSpPr>
          <xdr:cNvPr id="119" name="TextBox 34">
            <a:extLst>
              <a:ext uri="{FF2B5EF4-FFF2-40B4-BE49-F238E27FC236}">
                <a16:creationId xmlns:a16="http://schemas.microsoft.com/office/drawing/2014/main" id="{0C1CEE8A-978B-4CE5-ABB7-15709E7C79B0}"/>
              </a:ext>
            </a:extLst>
          </xdr:cNvPr>
          <xdr:cNvSpPr txBox="1"/>
        </xdr:nvSpPr>
        <xdr:spPr>
          <a:xfrm>
            <a:off x="12345139" y="4303256"/>
            <a:ext cx="1398192" cy="854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 future-proofed street network</a:t>
            </a:r>
          </a:p>
        </xdr:txBody>
      </xdr:sp>
      <xdr:sp macro="" textlink="">
        <xdr:nvSpPr>
          <xdr:cNvPr id="120" name="TextBox 29">
            <a:extLst>
              <a:ext uri="{FF2B5EF4-FFF2-40B4-BE49-F238E27FC236}">
                <a16:creationId xmlns:a16="http://schemas.microsoft.com/office/drawing/2014/main" id="{4F29A7DE-EEAE-4FFA-A13B-4EF6CA7CA309}"/>
              </a:ext>
            </a:extLst>
          </xdr:cNvPr>
          <xdr:cNvSpPr txBox="1"/>
        </xdr:nvSpPr>
        <xdr:spPr>
          <a:xfrm>
            <a:off x="15818634" y="2179771"/>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435532</xdr:colOff>
      <xdr:row>11</xdr:row>
      <xdr:rowOff>131607</xdr:rowOff>
    </xdr:from>
    <xdr:to>
      <xdr:col>17</xdr:col>
      <xdr:colOff>908796</xdr:colOff>
      <xdr:row>17</xdr:row>
      <xdr:rowOff>2295</xdr:rowOff>
    </xdr:to>
    <xdr:sp macro="" textlink="">
      <xdr:nvSpPr>
        <xdr:cNvPr id="48" name="TextBox 35">
          <a:extLst>
            <a:ext uri="{FF2B5EF4-FFF2-40B4-BE49-F238E27FC236}">
              <a16:creationId xmlns:a16="http://schemas.microsoft.com/office/drawing/2014/main" id="{4E04D241-DE59-4F22-9072-14EF7AEAC4C5}"/>
            </a:ext>
          </a:extLst>
        </xdr:cNvPr>
        <xdr:cNvSpPr txBox="1"/>
      </xdr:nvSpPr>
      <xdr:spPr>
        <a:xfrm>
          <a:off x="17037896" y="2763971"/>
          <a:ext cx="1904900" cy="145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Green and vibrant streets that are welcoming and safe places to spend time in</a:t>
          </a:r>
        </a:p>
      </xdr:txBody>
    </xdr:sp>
    <xdr:clientData/>
  </xdr:twoCellAnchor>
  <xdr:twoCellAnchor>
    <xdr:from>
      <xdr:col>17</xdr:col>
      <xdr:colOff>1104900</xdr:colOff>
      <xdr:row>22</xdr:row>
      <xdr:rowOff>125639</xdr:rowOff>
    </xdr:from>
    <xdr:to>
      <xdr:col>19</xdr:col>
      <xdr:colOff>78107</xdr:colOff>
      <xdr:row>26</xdr:row>
      <xdr:rowOff>201317</xdr:rowOff>
    </xdr:to>
    <xdr:sp macro="" textlink="">
      <xdr:nvSpPr>
        <xdr:cNvPr id="37" name="TextBox 36">
          <a:extLst>
            <a:ext uri="{FF2B5EF4-FFF2-40B4-BE49-F238E27FC236}">
              <a16:creationId xmlns:a16="http://schemas.microsoft.com/office/drawing/2014/main" id="{13075C5D-5F06-402B-B02B-36EBD516C729}"/>
            </a:ext>
          </a:extLst>
        </xdr:cNvPr>
        <xdr:cNvSpPr txBox="1"/>
      </xdr:nvSpPr>
      <xdr:spPr>
        <a:xfrm>
          <a:off x="19221450" y="5326289"/>
          <a:ext cx="1868807" cy="990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An attractive and inclusive walking and wheeling environment</a:t>
          </a:r>
        </a:p>
      </xdr:txBody>
    </xdr:sp>
    <xdr:clientData/>
  </xdr:twoCellAnchor>
  <xdr:twoCellAnchor>
    <xdr:from>
      <xdr:col>17</xdr:col>
      <xdr:colOff>991833</xdr:colOff>
      <xdr:row>18</xdr:row>
      <xdr:rowOff>131989</xdr:rowOff>
    </xdr:from>
    <xdr:to>
      <xdr:col>18</xdr:col>
      <xdr:colOff>431347</xdr:colOff>
      <xdr:row>21</xdr:row>
      <xdr:rowOff>145142</xdr:rowOff>
    </xdr:to>
    <xdr:sp macro="" textlink="">
      <xdr:nvSpPr>
        <xdr:cNvPr id="38" name="TextBox 37">
          <a:extLst>
            <a:ext uri="{FF2B5EF4-FFF2-40B4-BE49-F238E27FC236}">
              <a16:creationId xmlns:a16="http://schemas.microsoft.com/office/drawing/2014/main" id="{21CF1B0E-F646-4024-93D8-E1D0E359B52A}"/>
            </a:ext>
          </a:extLst>
        </xdr:cNvPr>
        <xdr:cNvSpPr txBox="1"/>
      </xdr:nvSpPr>
      <xdr:spPr>
        <a:xfrm>
          <a:off x="19089333" y="4540703"/>
          <a:ext cx="881871" cy="666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265845</xdr:colOff>
      <xdr:row>32</xdr:row>
      <xdr:rowOff>114644</xdr:rowOff>
    </xdr:from>
    <xdr:to>
      <xdr:col>18</xdr:col>
      <xdr:colOff>1225593</xdr:colOff>
      <xdr:row>36</xdr:row>
      <xdr:rowOff>221092</xdr:rowOff>
    </xdr:to>
    <xdr:sp macro="" textlink="">
      <xdr:nvSpPr>
        <xdr:cNvPr id="39" name="TextBox 38">
          <a:extLst>
            <a:ext uri="{FF2B5EF4-FFF2-40B4-BE49-F238E27FC236}">
              <a16:creationId xmlns:a16="http://schemas.microsoft.com/office/drawing/2014/main" id="{F322EBE7-4DBA-4A88-B789-C1F15D3DAA91}"/>
            </a:ext>
          </a:extLst>
        </xdr:cNvPr>
        <xdr:cNvSpPr txBox="1"/>
      </xdr:nvSpPr>
      <xdr:spPr>
        <a:xfrm>
          <a:off x="19906395" y="7906094"/>
          <a:ext cx="959748" cy="98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16</xdr:col>
      <xdr:colOff>1238211</xdr:colOff>
      <xdr:row>43</xdr:row>
      <xdr:rowOff>61124</xdr:rowOff>
    </xdr:from>
    <xdr:to>
      <xdr:col>17</xdr:col>
      <xdr:colOff>761862</xdr:colOff>
      <xdr:row>45</xdr:row>
      <xdr:rowOff>204108</xdr:rowOff>
    </xdr:to>
    <xdr:sp macro="" textlink="">
      <xdr:nvSpPr>
        <xdr:cNvPr id="40" name="TextBox 39">
          <a:extLst>
            <a:ext uri="{FF2B5EF4-FFF2-40B4-BE49-F238E27FC236}">
              <a16:creationId xmlns:a16="http://schemas.microsoft.com/office/drawing/2014/main" id="{6209FB9F-0AB1-4DDE-92B5-CB899A43221A}"/>
            </a:ext>
          </a:extLst>
        </xdr:cNvPr>
        <xdr:cNvSpPr txBox="1"/>
      </xdr:nvSpPr>
      <xdr:spPr>
        <a:xfrm>
          <a:off x="17893354" y="10144017"/>
          <a:ext cx="966008" cy="578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1912128</xdr:colOff>
      <xdr:row>43</xdr:row>
      <xdr:rowOff>87159</xdr:rowOff>
    </xdr:from>
    <xdr:to>
      <xdr:col>15</xdr:col>
      <xdr:colOff>399095</xdr:colOff>
      <xdr:row>46</xdr:row>
      <xdr:rowOff>0</xdr:rowOff>
    </xdr:to>
    <xdr:sp macro="" textlink="">
      <xdr:nvSpPr>
        <xdr:cNvPr id="41" name="TextBox 40">
          <a:extLst>
            <a:ext uri="{FF2B5EF4-FFF2-40B4-BE49-F238E27FC236}">
              <a16:creationId xmlns:a16="http://schemas.microsoft.com/office/drawing/2014/main" id="{64B3B930-DA36-4DD1-97ED-4D424E58D54B}"/>
            </a:ext>
          </a:extLst>
        </xdr:cNvPr>
        <xdr:cNvSpPr txBox="1"/>
      </xdr:nvSpPr>
      <xdr:spPr>
        <a:xfrm>
          <a:off x="14618478" y="10317009"/>
          <a:ext cx="1001567" cy="598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14</xdr:col>
      <xdr:colOff>7400</xdr:colOff>
      <xdr:row>32</xdr:row>
      <xdr:rowOff>104483</xdr:rowOff>
    </xdr:from>
    <xdr:to>
      <xdr:col>14</xdr:col>
      <xdr:colOff>960798</xdr:colOff>
      <xdr:row>36</xdr:row>
      <xdr:rowOff>210931</xdr:rowOff>
    </xdr:to>
    <xdr:sp macro="" textlink="">
      <xdr:nvSpPr>
        <xdr:cNvPr id="42" name="TextBox 41">
          <a:extLst>
            <a:ext uri="{FF2B5EF4-FFF2-40B4-BE49-F238E27FC236}">
              <a16:creationId xmlns:a16="http://schemas.microsoft.com/office/drawing/2014/main" id="{45A8584E-E169-4637-B8E6-C4B0A16BA75C}"/>
            </a:ext>
          </a:extLst>
        </xdr:cNvPr>
        <xdr:cNvSpPr txBox="1"/>
      </xdr:nvSpPr>
      <xdr:spPr>
        <a:xfrm>
          <a:off x="12789950" y="7895933"/>
          <a:ext cx="953398" cy="98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twoCellAnchor>
    <xdr:from>
      <xdr:col>14</xdr:col>
      <xdr:colOff>1018229</xdr:colOff>
      <xdr:row>18</xdr:row>
      <xdr:rowOff>30191</xdr:rowOff>
    </xdr:from>
    <xdr:to>
      <xdr:col>14</xdr:col>
      <xdr:colOff>1428749</xdr:colOff>
      <xdr:row>22</xdr:row>
      <xdr:rowOff>92913</xdr:rowOff>
    </xdr:to>
    <xdr:sp macro="" textlink="">
      <xdr:nvSpPr>
        <xdr:cNvPr id="43" name="TextBox 42">
          <a:extLst>
            <a:ext uri="{FF2B5EF4-FFF2-40B4-BE49-F238E27FC236}">
              <a16:creationId xmlns:a16="http://schemas.microsoft.com/office/drawing/2014/main" id="{BEDB9FF6-96B7-4A2F-A75F-5945C877509E}"/>
            </a:ext>
          </a:extLst>
        </xdr:cNvPr>
        <xdr:cNvSpPr txBox="1"/>
      </xdr:nvSpPr>
      <xdr:spPr>
        <a:xfrm flipH="1">
          <a:off x="13800779" y="4621241"/>
          <a:ext cx="410520" cy="977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145383</xdr:colOff>
      <xdr:row>14</xdr:row>
      <xdr:rowOff>110289</xdr:rowOff>
    </xdr:from>
    <xdr:to>
      <xdr:col>14</xdr:col>
      <xdr:colOff>1628776</xdr:colOff>
      <xdr:row>18</xdr:row>
      <xdr:rowOff>34215</xdr:rowOff>
    </xdr:to>
    <xdr:pic>
      <xdr:nvPicPr>
        <xdr:cNvPr id="2" name="Picture 1">
          <a:extLst>
            <a:ext uri="{FF2B5EF4-FFF2-40B4-BE49-F238E27FC236}">
              <a16:creationId xmlns:a16="http://schemas.microsoft.com/office/drawing/2014/main" id="{73FBFB96-D7F7-461B-B4B8-8B6FBB25B15A}"/>
            </a:ext>
          </a:extLst>
        </xdr:cNvPr>
        <xdr:cNvPicPr>
          <a:picLocks noChangeAspect="1"/>
        </xdr:cNvPicPr>
      </xdr:nvPicPr>
      <xdr:blipFill>
        <a:blip xmlns:r="http://schemas.openxmlformats.org/officeDocument/2006/relationships" r:embed="rId1"/>
        <a:stretch>
          <a:fillRect/>
        </a:stretch>
      </xdr:blipFill>
      <xdr:spPr>
        <a:xfrm>
          <a:off x="12839033" y="3266239"/>
          <a:ext cx="1483393" cy="584326"/>
        </a:xfrm>
        <a:prstGeom prst="rect">
          <a:avLst/>
        </a:prstGeom>
      </xdr:spPr>
    </xdr:pic>
    <xdr:clientData/>
  </xdr:twoCellAnchor>
  <xdr:twoCellAnchor editAs="oneCell">
    <xdr:from>
      <xdr:col>16</xdr:col>
      <xdr:colOff>1409622</xdr:colOff>
      <xdr:row>2</xdr:row>
      <xdr:rowOff>34587</xdr:rowOff>
    </xdr:from>
    <xdr:to>
      <xdr:col>18</xdr:col>
      <xdr:colOff>1011281</xdr:colOff>
      <xdr:row>2</xdr:row>
      <xdr:rowOff>640829</xdr:rowOff>
    </xdr:to>
    <xdr:pic>
      <xdr:nvPicPr>
        <xdr:cNvPr id="3" name="Picture 2">
          <a:extLst>
            <a:ext uri="{FF2B5EF4-FFF2-40B4-BE49-F238E27FC236}">
              <a16:creationId xmlns:a16="http://schemas.microsoft.com/office/drawing/2014/main" id="{9291FDFE-3E2A-49D2-8C97-2D7ACB428C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40272" y="244137"/>
          <a:ext cx="2471859" cy="60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57929</xdr:colOff>
      <xdr:row>10</xdr:row>
      <xdr:rowOff>159638</xdr:rowOff>
    </xdr:from>
    <xdr:to>
      <xdr:col>21</xdr:col>
      <xdr:colOff>0</xdr:colOff>
      <xdr:row>54</xdr:row>
      <xdr:rowOff>106195</xdr:rowOff>
    </xdr:to>
    <xdr:grpSp>
      <xdr:nvGrpSpPr>
        <xdr:cNvPr id="4" name="Group 2">
          <a:extLst>
            <a:ext uri="{FF2B5EF4-FFF2-40B4-BE49-F238E27FC236}">
              <a16:creationId xmlns:a16="http://schemas.microsoft.com/office/drawing/2014/main" id="{28969210-7662-43E7-B000-EDF90B73D928}"/>
            </a:ext>
          </a:extLst>
        </xdr:cNvPr>
        <xdr:cNvGrpSpPr/>
      </xdr:nvGrpSpPr>
      <xdr:grpSpPr>
        <a:xfrm>
          <a:off x="11989579" y="2483738"/>
          <a:ext cx="9340071" cy="9198507"/>
          <a:chOff x="11610394" y="1791226"/>
          <a:chExt cx="8977213" cy="8381311"/>
        </a:xfrm>
      </xdr:grpSpPr>
      <xdr:grpSp>
        <xdr:nvGrpSpPr>
          <xdr:cNvPr id="5" name="Group 26">
            <a:extLst>
              <a:ext uri="{FF2B5EF4-FFF2-40B4-BE49-F238E27FC236}">
                <a16:creationId xmlns:a16="http://schemas.microsoft.com/office/drawing/2014/main" id="{9A0CFF82-BCE7-58E2-B95D-356C47034AE9}"/>
              </a:ext>
            </a:extLst>
          </xdr:cNvPr>
          <xdr:cNvGrpSpPr/>
        </xdr:nvGrpSpPr>
        <xdr:grpSpPr>
          <a:xfrm>
            <a:off x="11610394" y="1791226"/>
            <a:ext cx="8977213" cy="8381311"/>
            <a:chOff x="10677432" y="606000"/>
            <a:chExt cx="8332453" cy="7624460"/>
          </a:xfrm>
        </xdr:grpSpPr>
        <xdr:sp macro="" textlink="">
          <xdr:nvSpPr>
            <xdr:cNvPr id="12" name="Oval 23">
              <a:extLst>
                <a:ext uri="{FF2B5EF4-FFF2-40B4-BE49-F238E27FC236}">
                  <a16:creationId xmlns:a16="http://schemas.microsoft.com/office/drawing/2014/main" id="{2D34E9E2-70A3-9EF8-228C-ABF8F2716F9D}"/>
                </a:ext>
              </a:extLst>
            </xdr:cNvPr>
            <xdr:cNvSpPr>
              <a:spLocks noChangeAspect="1"/>
            </xdr:cNvSpPr>
          </xdr:nvSpPr>
          <xdr:spPr>
            <a:xfrm>
              <a:off x="14572706" y="1060835"/>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3" name="Chart 6">
              <a:extLst>
                <a:ext uri="{FF2B5EF4-FFF2-40B4-BE49-F238E27FC236}">
                  <a16:creationId xmlns:a16="http://schemas.microsoft.com/office/drawing/2014/main" id="{1C10A786-A41C-B3CB-E4F3-4019AEE36B20}"/>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3"/>
            </a:graphicData>
          </a:graphic>
        </xdr:graphicFrame>
        <xdr:sp macro="" textlink="$D$10">
          <xdr:nvSpPr>
            <xdr:cNvPr id="14" name="Oval 16">
              <a:extLst>
                <a:ext uri="{FF2B5EF4-FFF2-40B4-BE49-F238E27FC236}">
                  <a16:creationId xmlns:a16="http://schemas.microsoft.com/office/drawing/2014/main" id="{66F00285-6D63-C62C-208C-02837FDCB199}"/>
                </a:ext>
              </a:extLst>
            </xdr:cNvPr>
            <xdr:cNvSpPr>
              <a:spLocks noChangeAspect="1"/>
            </xdr:cNvSpPr>
          </xdr:nvSpPr>
          <xdr:spPr>
            <a:xfrm>
              <a:off x="14784523" y="7276887"/>
              <a:ext cx="824467" cy="820656"/>
            </a:xfrm>
            <a:prstGeom prst="ellipse">
              <a:avLst/>
            </a:prstGeom>
            <a:solidFill>
              <a:srgbClr val="076E48"/>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6" name="Oval 20">
              <a:extLst>
                <a:ext uri="{FF2B5EF4-FFF2-40B4-BE49-F238E27FC236}">
                  <a16:creationId xmlns:a16="http://schemas.microsoft.com/office/drawing/2014/main" id="{584DF933-44DF-F0B2-FC0B-CD50EE0081BB}"/>
                </a:ext>
              </a:extLst>
            </xdr:cNvPr>
            <xdr:cNvSpPr>
              <a:spLocks noChangeAspect="1"/>
            </xdr:cNvSpPr>
          </xdr:nvSpPr>
          <xdr:spPr>
            <a:xfrm>
              <a:off x="17596783" y="563625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7" name="Oval 21">
              <a:extLst>
                <a:ext uri="{FF2B5EF4-FFF2-40B4-BE49-F238E27FC236}">
                  <a16:creationId xmlns:a16="http://schemas.microsoft.com/office/drawing/2014/main" id="{F1CBCDD1-6D00-93DF-2BA6-B1171809BFE5}"/>
                </a:ext>
              </a:extLst>
            </xdr:cNvPr>
            <xdr:cNvSpPr>
              <a:spLocks noChangeAspect="1"/>
            </xdr:cNvSpPr>
          </xdr:nvSpPr>
          <xdr:spPr>
            <a:xfrm>
              <a:off x="11723238" y="5653607"/>
              <a:ext cx="817889" cy="820656"/>
            </a:xfrm>
            <a:prstGeom prst="ellipse">
              <a:avLst/>
            </a:prstGeom>
            <a:solidFill>
              <a:srgbClr val="FBB715"/>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8" name="Oval 22">
              <a:extLst>
                <a:ext uri="{FF2B5EF4-FFF2-40B4-BE49-F238E27FC236}">
                  <a16:creationId xmlns:a16="http://schemas.microsoft.com/office/drawing/2014/main" id="{1A056EFF-41C3-F231-3426-1732783A652A}"/>
                </a:ext>
              </a:extLst>
            </xdr:cNvPr>
            <xdr:cNvSpPr>
              <a:spLocks noChangeAspect="1"/>
            </xdr:cNvSpPr>
          </xdr:nvSpPr>
          <xdr:spPr>
            <a:xfrm>
              <a:off x="17501937" y="2900243"/>
              <a:ext cx="818974" cy="820656"/>
            </a:xfrm>
            <a:prstGeom prst="ellipse">
              <a:avLst/>
            </a:prstGeom>
            <a:solidFill>
              <a:srgbClr val="233977"/>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9" name="Oval 24">
              <a:extLst>
                <a:ext uri="{FF2B5EF4-FFF2-40B4-BE49-F238E27FC236}">
                  <a16:creationId xmlns:a16="http://schemas.microsoft.com/office/drawing/2014/main" id="{EA4C3560-18D8-0AE9-CAEC-8275EF0810AD}"/>
                </a:ext>
              </a:extLst>
            </xdr:cNvPr>
            <xdr:cNvSpPr>
              <a:spLocks noChangeAspect="1"/>
            </xdr:cNvSpPr>
          </xdr:nvSpPr>
          <xdr:spPr>
            <a:xfrm>
              <a:off x="11675322" y="2769323"/>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6" name="TextBox 30">
            <a:extLst>
              <a:ext uri="{FF2B5EF4-FFF2-40B4-BE49-F238E27FC236}">
                <a16:creationId xmlns:a16="http://schemas.microsoft.com/office/drawing/2014/main" id="{F8475F8E-58E1-8E18-B6B3-081F7CA42C80}"/>
              </a:ext>
            </a:extLst>
          </xdr:cNvPr>
          <xdr:cNvSpPr txBox="1"/>
        </xdr:nvSpPr>
        <xdr:spPr>
          <a:xfrm>
            <a:off x="18905297" y="7868410"/>
            <a:ext cx="1302789"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Encourages cycling</a:t>
            </a:r>
          </a:p>
        </xdr:txBody>
      </xdr:sp>
      <xdr:sp macro="" textlink="">
        <xdr:nvSpPr>
          <xdr:cNvPr id="7" name="TextBox 31">
            <a:extLst>
              <a:ext uri="{FF2B5EF4-FFF2-40B4-BE49-F238E27FC236}">
                <a16:creationId xmlns:a16="http://schemas.microsoft.com/office/drawing/2014/main" id="{14BFAFA6-7DFB-0005-4808-D985C10EC90D}"/>
              </a:ext>
            </a:extLst>
          </xdr:cNvPr>
          <xdr:cNvSpPr txBox="1"/>
        </xdr:nvSpPr>
        <xdr:spPr>
          <a:xfrm>
            <a:off x="17030424" y="9120853"/>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0" i="0" u="none" strike="noStrike">
                <a:solidFill>
                  <a:schemeClr val="dk1"/>
                </a:solidFill>
                <a:effectLst/>
                <a:latin typeface="+mn-lt"/>
                <a:ea typeface="+mn-ea"/>
                <a:cs typeface="+mn-cs"/>
              </a:rPr>
              <a:t>Improves</a:t>
            </a:r>
            <a:r>
              <a:rPr lang="en-GB" sz="1100" b="0" i="0" u="none" strike="noStrike" baseline="0">
                <a:solidFill>
                  <a:schemeClr val="dk1"/>
                </a:solidFill>
                <a:effectLst/>
                <a:latin typeface="+mn-lt"/>
                <a:ea typeface="+mn-ea"/>
                <a:cs typeface="+mn-cs"/>
              </a:rPr>
              <a:t> my mental health</a:t>
            </a:r>
            <a:endParaRPr lang="en-GB" sz="1100" b="1"/>
          </a:p>
        </xdr:txBody>
      </xdr:sp>
      <xdr:sp macro="" textlink="">
        <xdr:nvSpPr>
          <xdr:cNvPr id="8" name="TextBox 32">
            <a:extLst>
              <a:ext uri="{FF2B5EF4-FFF2-40B4-BE49-F238E27FC236}">
                <a16:creationId xmlns:a16="http://schemas.microsoft.com/office/drawing/2014/main" id="{C7F5CCAC-AF6C-07CE-1A31-660DA207DDCA}"/>
              </a:ext>
            </a:extLst>
          </xdr:cNvPr>
          <xdr:cNvSpPr txBox="1"/>
        </xdr:nvSpPr>
        <xdr:spPr>
          <a:xfrm>
            <a:off x="12350924" y="8135985"/>
            <a:ext cx="1659828"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0" i="0" u="none" strike="noStrike">
                <a:solidFill>
                  <a:schemeClr val="dk1"/>
                </a:solidFill>
                <a:effectLst/>
                <a:latin typeface="+mn-lt"/>
                <a:ea typeface="+mn-ea"/>
                <a:cs typeface="+mn-cs"/>
              </a:rPr>
              <a:t>Helps me to be fit and active</a:t>
            </a:r>
            <a:r>
              <a:rPr lang="en-GB"/>
              <a:t> </a:t>
            </a:r>
            <a:endParaRPr lang="en-GB" sz="1100" b="1"/>
          </a:p>
        </xdr:txBody>
      </xdr:sp>
      <xdr:sp macro="" textlink="">
        <xdr:nvSpPr>
          <xdr:cNvPr id="9" name="TextBox 33">
            <a:extLst>
              <a:ext uri="{FF2B5EF4-FFF2-40B4-BE49-F238E27FC236}">
                <a16:creationId xmlns:a16="http://schemas.microsoft.com/office/drawing/2014/main" id="{9AEF18A1-4D1E-F664-A9D5-BF40FFE5A188}"/>
              </a:ext>
            </a:extLst>
          </xdr:cNvPr>
          <xdr:cNvSpPr txBox="1"/>
        </xdr:nvSpPr>
        <xdr:spPr>
          <a:xfrm>
            <a:off x="12231318" y="4957964"/>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0" i="0" u="none" strike="noStrike">
                <a:solidFill>
                  <a:schemeClr val="dk1"/>
                </a:solidFill>
                <a:effectLst/>
                <a:latin typeface="+mn-lt"/>
                <a:ea typeface="+mn-ea"/>
                <a:cs typeface="+mn-cs"/>
              </a:rPr>
              <a:t>Reduces risks from pollution and noise</a:t>
            </a:r>
            <a:r>
              <a:rPr lang="en-GB"/>
              <a:t> </a:t>
            </a:r>
            <a:endParaRPr lang="en-GB" sz="1100" b="1"/>
          </a:p>
        </xdr:txBody>
      </xdr:sp>
      <xdr:sp macro="" textlink="">
        <xdr:nvSpPr>
          <xdr:cNvPr id="11" name="TextBox 29">
            <a:extLst>
              <a:ext uri="{FF2B5EF4-FFF2-40B4-BE49-F238E27FC236}">
                <a16:creationId xmlns:a16="http://schemas.microsoft.com/office/drawing/2014/main" id="{9365ED81-5AF7-D690-DBD1-B60B1D19ABAD}"/>
              </a:ext>
            </a:extLst>
          </xdr:cNvPr>
          <xdr:cNvSpPr txBox="1"/>
        </xdr:nvSpPr>
        <xdr:spPr>
          <a:xfrm>
            <a:off x="15836771" y="2271366"/>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580716</xdr:colOff>
      <xdr:row>11</xdr:row>
      <xdr:rowOff>188757</xdr:rowOff>
    </xdr:from>
    <xdr:to>
      <xdr:col>17</xdr:col>
      <xdr:colOff>1060330</xdr:colOff>
      <xdr:row>17</xdr:row>
      <xdr:rowOff>59445</xdr:rowOff>
    </xdr:to>
    <xdr:sp macro="" textlink="">
      <xdr:nvSpPr>
        <xdr:cNvPr id="20" name="TextBox 35">
          <a:extLst>
            <a:ext uri="{FF2B5EF4-FFF2-40B4-BE49-F238E27FC236}">
              <a16:creationId xmlns:a16="http://schemas.microsoft.com/office/drawing/2014/main" id="{AD7AB0F9-68C6-41DB-9F69-BEC15E253C66}"/>
            </a:ext>
          </a:extLst>
        </xdr:cNvPr>
        <xdr:cNvSpPr txBox="1"/>
      </xdr:nvSpPr>
      <xdr:spPr>
        <a:xfrm>
          <a:off x="17211366" y="2728757"/>
          <a:ext cx="1914714" cy="924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Makes me feel safe and welcome</a:t>
          </a:r>
        </a:p>
      </xdr:txBody>
    </xdr:sp>
    <xdr:clientData/>
  </xdr:twoCellAnchor>
  <xdr:twoCellAnchor>
    <xdr:from>
      <xdr:col>18</xdr:col>
      <xdr:colOff>269602</xdr:colOff>
      <xdr:row>28</xdr:row>
      <xdr:rowOff>201839</xdr:rowOff>
    </xdr:from>
    <xdr:to>
      <xdr:col>20</xdr:col>
      <xdr:colOff>12700</xdr:colOff>
      <xdr:row>33</xdr:row>
      <xdr:rowOff>61617</xdr:rowOff>
    </xdr:to>
    <xdr:sp macro="" textlink="">
      <xdr:nvSpPr>
        <xdr:cNvPr id="21" name="TextBox 20">
          <a:extLst>
            <a:ext uri="{FF2B5EF4-FFF2-40B4-BE49-F238E27FC236}">
              <a16:creationId xmlns:a16="http://schemas.microsoft.com/office/drawing/2014/main" id="{9D09C7EC-FC32-44EF-BF66-AE5B6BF243B3}"/>
            </a:ext>
          </a:extLst>
        </xdr:cNvPr>
        <xdr:cNvSpPr txBox="1"/>
      </xdr:nvSpPr>
      <xdr:spPr>
        <a:xfrm>
          <a:off x="19980002" y="6247039"/>
          <a:ext cx="1279798" cy="93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Encourages Walking</a:t>
          </a:r>
        </a:p>
      </xdr:txBody>
    </xdr:sp>
    <xdr:clientData/>
  </xdr:twoCellAnchor>
  <xdr:twoCellAnchor>
    <xdr:from>
      <xdr:col>17</xdr:col>
      <xdr:colOff>1414561</xdr:colOff>
      <xdr:row>24</xdr:row>
      <xdr:rowOff>40822</xdr:rowOff>
    </xdr:from>
    <xdr:to>
      <xdr:col>18</xdr:col>
      <xdr:colOff>947101</xdr:colOff>
      <xdr:row>28</xdr:row>
      <xdr:rowOff>99988</xdr:rowOff>
    </xdr:to>
    <xdr:sp macro="" textlink="">
      <xdr:nvSpPr>
        <xdr:cNvPr id="22" name="TextBox 21">
          <a:extLst>
            <a:ext uri="{FF2B5EF4-FFF2-40B4-BE49-F238E27FC236}">
              <a16:creationId xmlns:a16="http://schemas.microsoft.com/office/drawing/2014/main" id="{5A0BBA19-C69D-442B-B3FB-0181105754B2}"/>
            </a:ext>
          </a:extLst>
        </xdr:cNvPr>
        <xdr:cNvSpPr txBox="1"/>
      </xdr:nvSpPr>
      <xdr:spPr>
        <a:xfrm>
          <a:off x="19689861" y="5209722"/>
          <a:ext cx="967640" cy="935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170595</xdr:colOff>
      <xdr:row>40</xdr:row>
      <xdr:rowOff>140044</xdr:rowOff>
    </xdr:from>
    <xdr:to>
      <xdr:col>18</xdr:col>
      <xdr:colOff>1130343</xdr:colOff>
      <xdr:row>45</xdr:row>
      <xdr:rowOff>5192</xdr:rowOff>
    </xdr:to>
    <xdr:sp macro="" textlink="">
      <xdr:nvSpPr>
        <xdr:cNvPr id="23" name="TextBox 22">
          <a:extLst>
            <a:ext uri="{FF2B5EF4-FFF2-40B4-BE49-F238E27FC236}">
              <a16:creationId xmlns:a16="http://schemas.microsoft.com/office/drawing/2014/main" id="{9798187E-3D09-4AC0-9BA2-53B198675AE9}"/>
            </a:ext>
          </a:extLst>
        </xdr:cNvPr>
        <xdr:cNvSpPr txBox="1"/>
      </xdr:nvSpPr>
      <xdr:spPr>
        <a:xfrm>
          <a:off x="19880995" y="8763344"/>
          <a:ext cx="959748" cy="944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15</xdr:col>
      <xdr:colOff>1189225</xdr:colOff>
      <xdr:row>48</xdr:row>
      <xdr:rowOff>49331</xdr:rowOff>
    </xdr:from>
    <xdr:to>
      <xdr:col>16</xdr:col>
      <xdr:colOff>712876</xdr:colOff>
      <xdr:row>54</xdr:row>
      <xdr:rowOff>117677</xdr:rowOff>
    </xdr:to>
    <xdr:sp macro="" textlink="">
      <xdr:nvSpPr>
        <xdr:cNvPr id="24" name="TextBox 23">
          <a:extLst>
            <a:ext uri="{FF2B5EF4-FFF2-40B4-BE49-F238E27FC236}">
              <a16:creationId xmlns:a16="http://schemas.microsoft.com/office/drawing/2014/main" id="{DAAD24B2-6814-47C2-9E6F-335B2E1B5F6C}"/>
            </a:ext>
          </a:extLst>
        </xdr:cNvPr>
        <xdr:cNvSpPr txBox="1"/>
      </xdr:nvSpPr>
      <xdr:spPr>
        <a:xfrm>
          <a:off x="16594325" y="10399831"/>
          <a:ext cx="958751" cy="1363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232553</xdr:colOff>
      <xdr:row>38</xdr:row>
      <xdr:rowOff>198284</xdr:rowOff>
    </xdr:from>
    <xdr:to>
      <xdr:col>14</xdr:col>
      <xdr:colOff>1218245</xdr:colOff>
      <xdr:row>45</xdr:row>
      <xdr:rowOff>41205</xdr:rowOff>
    </xdr:to>
    <xdr:sp macro="" textlink="">
      <xdr:nvSpPr>
        <xdr:cNvPr id="25" name="TextBox 24">
          <a:extLst>
            <a:ext uri="{FF2B5EF4-FFF2-40B4-BE49-F238E27FC236}">
              <a16:creationId xmlns:a16="http://schemas.microsoft.com/office/drawing/2014/main" id="{EC9D4EDF-5BDE-44FD-B413-B638A11A3165}"/>
            </a:ext>
          </a:extLst>
        </xdr:cNvPr>
        <xdr:cNvSpPr txBox="1"/>
      </xdr:nvSpPr>
      <xdr:spPr>
        <a:xfrm>
          <a:off x="13135753" y="8389784"/>
          <a:ext cx="985692" cy="1354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14</xdr:col>
      <xdr:colOff>229650</xdr:colOff>
      <xdr:row>23</xdr:row>
      <xdr:rowOff>196558</xdr:rowOff>
    </xdr:from>
    <xdr:to>
      <xdr:col>14</xdr:col>
      <xdr:colOff>1183048</xdr:colOff>
      <xdr:row>28</xdr:row>
      <xdr:rowOff>39481</xdr:rowOff>
    </xdr:to>
    <xdr:sp macro="" textlink="">
      <xdr:nvSpPr>
        <xdr:cNvPr id="26" name="TextBox 25">
          <a:extLst>
            <a:ext uri="{FF2B5EF4-FFF2-40B4-BE49-F238E27FC236}">
              <a16:creationId xmlns:a16="http://schemas.microsoft.com/office/drawing/2014/main" id="{85F16FB4-3B9F-4068-9FA9-5BA1FA51A78A}"/>
            </a:ext>
          </a:extLst>
        </xdr:cNvPr>
        <xdr:cNvSpPr txBox="1"/>
      </xdr:nvSpPr>
      <xdr:spPr>
        <a:xfrm>
          <a:off x="13132850" y="5149558"/>
          <a:ext cx="953398" cy="935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2002517</xdr:colOff>
      <xdr:row>14</xdr:row>
      <xdr:rowOff>25310</xdr:rowOff>
    </xdr:from>
    <xdr:to>
      <xdr:col>12</xdr:col>
      <xdr:colOff>703308</xdr:colOff>
      <xdr:row>43</xdr:row>
      <xdr:rowOff>190500</xdr:rowOff>
    </xdr:to>
    <xdr:grpSp>
      <xdr:nvGrpSpPr>
        <xdr:cNvPr id="4" name="Group 2">
          <a:extLst>
            <a:ext uri="{FF2B5EF4-FFF2-40B4-BE49-F238E27FC236}">
              <a16:creationId xmlns:a16="http://schemas.microsoft.com/office/drawing/2014/main" id="{21D8AFA9-CD04-4243-BCBB-729A84BE4763}"/>
            </a:ext>
          </a:extLst>
        </xdr:cNvPr>
        <xdr:cNvGrpSpPr/>
      </xdr:nvGrpSpPr>
      <xdr:grpSpPr>
        <a:xfrm>
          <a:off x="2214184" y="3253227"/>
          <a:ext cx="8543291" cy="7076106"/>
          <a:chOff x="11193520" y="-349031"/>
          <a:chExt cx="10786176" cy="8381310"/>
        </a:xfrm>
      </xdr:grpSpPr>
      <xdr:graphicFrame macro="">
        <xdr:nvGraphicFramePr>
          <xdr:cNvPr id="13" name="Chart 6">
            <a:extLst>
              <a:ext uri="{FF2B5EF4-FFF2-40B4-BE49-F238E27FC236}">
                <a16:creationId xmlns:a16="http://schemas.microsoft.com/office/drawing/2014/main" id="{30F2D7E4-B68C-2B08-3CD3-8D7A85A90BB6}"/>
              </a:ext>
            </a:extLst>
          </xdr:cNvPr>
          <xdr:cNvGraphicFramePr>
            <a:graphicFrameLocks/>
          </xdr:cNvGraphicFramePr>
        </xdr:nvGraphicFramePr>
        <xdr:xfrm>
          <a:off x="12251164" y="-349031"/>
          <a:ext cx="8977213" cy="838131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30">
            <a:extLst>
              <a:ext uri="{FF2B5EF4-FFF2-40B4-BE49-F238E27FC236}">
                <a16:creationId xmlns:a16="http://schemas.microsoft.com/office/drawing/2014/main" id="{299EE977-72C9-BE7C-C4CE-D18C4113BED8}"/>
              </a:ext>
            </a:extLst>
          </xdr:cNvPr>
          <xdr:cNvSpPr txBox="1"/>
        </xdr:nvSpPr>
        <xdr:spPr>
          <a:xfrm>
            <a:off x="20074025" y="4297974"/>
            <a:ext cx="1905671"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Public transport users</a:t>
            </a:r>
          </a:p>
        </xdr:txBody>
      </xdr:sp>
      <xdr:sp macro="" textlink="">
        <xdr:nvSpPr>
          <xdr:cNvPr id="7" name="TextBox 31">
            <a:extLst>
              <a:ext uri="{FF2B5EF4-FFF2-40B4-BE49-F238E27FC236}">
                <a16:creationId xmlns:a16="http://schemas.microsoft.com/office/drawing/2014/main" id="{B7659780-92D0-6F36-61F6-4109E991F61B}"/>
              </a:ext>
            </a:extLst>
          </xdr:cNvPr>
          <xdr:cNvSpPr txBox="1"/>
        </xdr:nvSpPr>
        <xdr:spPr>
          <a:xfrm>
            <a:off x="17756785" y="6393912"/>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Older adults</a:t>
            </a:r>
          </a:p>
        </xdr:txBody>
      </xdr:sp>
      <xdr:sp macro="" textlink="">
        <xdr:nvSpPr>
          <xdr:cNvPr id="8" name="TextBox 32">
            <a:extLst>
              <a:ext uri="{FF2B5EF4-FFF2-40B4-BE49-F238E27FC236}">
                <a16:creationId xmlns:a16="http://schemas.microsoft.com/office/drawing/2014/main" id="{513E4C73-9717-5198-7540-8680301C41A2}"/>
              </a:ext>
            </a:extLst>
          </xdr:cNvPr>
          <xdr:cNvSpPr txBox="1"/>
        </xdr:nvSpPr>
        <xdr:spPr>
          <a:xfrm>
            <a:off x="12614336" y="6312666"/>
            <a:ext cx="2701636"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mobility</a:t>
            </a:r>
            <a:r>
              <a:rPr lang="en-GB" sz="1400" b="1" baseline="0"/>
              <a:t> impairments</a:t>
            </a:r>
            <a:endParaRPr lang="en-GB" sz="1400" b="1"/>
          </a:p>
        </xdr:txBody>
      </xdr:sp>
      <xdr:sp macro="" textlink="">
        <xdr:nvSpPr>
          <xdr:cNvPr id="9" name="TextBox 33">
            <a:extLst>
              <a:ext uri="{FF2B5EF4-FFF2-40B4-BE49-F238E27FC236}">
                <a16:creationId xmlns:a16="http://schemas.microsoft.com/office/drawing/2014/main" id="{2CAC50C5-DD27-B3D9-D969-3EA6435C4695}"/>
              </a:ext>
            </a:extLst>
          </xdr:cNvPr>
          <xdr:cNvSpPr txBox="1"/>
        </xdr:nvSpPr>
        <xdr:spPr>
          <a:xfrm>
            <a:off x="11193520" y="4444378"/>
            <a:ext cx="2536877"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visual/ sensory</a:t>
            </a:r>
            <a:r>
              <a:rPr lang="en-GB" sz="1400" b="1" baseline="0"/>
              <a:t> impairments</a:t>
            </a:r>
            <a:endParaRPr lang="en-GB" sz="1400" b="1"/>
          </a:p>
        </xdr:txBody>
      </xdr:sp>
      <xdr:sp macro="" textlink="">
        <xdr:nvSpPr>
          <xdr:cNvPr id="10" name="TextBox 34">
            <a:extLst>
              <a:ext uri="{FF2B5EF4-FFF2-40B4-BE49-F238E27FC236}">
                <a16:creationId xmlns:a16="http://schemas.microsoft.com/office/drawing/2014/main" id="{F6B38338-7D48-203C-6438-9EBB241EC2BB}"/>
              </a:ext>
            </a:extLst>
          </xdr:cNvPr>
          <xdr:cNvSpPr txBox="1"/>
        </xdr:nvSpPr>
        <xdr:spPr>
          <a:xfrm>
            <a:off x="12170912" y="1797257"/>
            <a:ext cx="2268467" cy="113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400" b="1"/>
              <a:t>People with underlying health problems</a:t>
            </a:r>
          </a:p>
        </xdr:txBody>
      </xdr:sp>
    </xdr:grpSp>
    <xdr:clientData/>
  </xdr:twoCellAnchor>
  <xdr:twoCellAnchor editAs="oneCell">
    <xdr:from>
      <xdr:col>2</xdr:col>
      <xdr:colOff>457591</xdr:colOff>
      <xdr:row>16</xdr:row>
      <xdr:rowOff>4455</xdr:rowOff>
    </xdr:from>
    <xdr:to>
      <xdr:col>2</xdr:col>
      <xdr:colOff>1940984</xdr:colOff>
      <xdr:row>16</xdr:row>
      <xdr:rowOff>611470</xdr:rowOff>
    </xdr:to>
    <xdr:pic>
      <xdr:nvPicPr>
        <xdr:cNvPr id="2" name="Picture 1">
          <a:extLst>
            <a:ext uri="{FF2B5EF4-FFF2-40B4-BE49-F238E27FC236}">
              <a16:creationId xmlns:a16="http://schemas.microsoft.com/office/drawing/2014/main" id="{4971C088-DCFA-4BBC-AC10-25356ACA091F}"/>
            </a:ext>
          </a:extLst>
        </xdr:cNvPr>
        <xdr:cNvPicPr>
          <a:picLocks noChangeAspect="1"/>
        </xdr:cNvPicPr>
      </xdr:nvPicPr>
      <xdr:blipFill>
        <a:blip xmlns:r="http://schemas.openxmlformats.org/officeDocument/2006/relationships" r:embed="rId2"/>
        <a:stretch>
          <a:fillRect/>
        </a:stretch>
      </xdr:blipFill>
      <xdr:spPr>
        <a:xfrm>
          <a:off x="648091" y="3655705"/>
          <a:ext cx="1483393" cy="622427"/>
        </a:xfrm>
        <a:prstGeom prst="rect">
          <a:avLst/>
        </a:prstGeom>
      </xdr:spPr>
    </xdr:pic>
    <xdr:clientData/>
  </xdr:twoCellAnchor>
  <xdr:twoCellAnchor>
    <xdr:from>
      <xdr:col>6</xdr:col>
      <xdr:colOff>574367</xdr:colOff>
      <xdr:row>12</xdr:row>
      <xdr:rowOff>210608</xdr:rowOff>
    </xdr:from>
    <xdr:to>
      <xdr:col>9</xdr:col>
      <xdr:colOff>23164</xdr:colOff>
      <xdr:row>18</xdr:row>
      <xdr:rowOff>100719</xdr:rowOff>
    </xdr:to>
    <xdr:sp macro="" textlink="">
      <xdr:nvSpPr>
        <xdr:cNvPr id="20" name="TextBox 35">
          <a:extLst>
            <a:ext uri="{FF2B5EF4-FFF2-40B4-BE49-F238E27FC236}">
              <a16:creationId xmlns:a16="http://schemas.microsoft.com/office/drawing/2014/main" id="{10962506-623E-4053-A569-266D84173162}"/>
            </a:ext>
          </a:extLst>
        </xdr:cNvPr>
        <xdr:cNvSpPr txBox="1"/>
      </xdr:nvSpPr>
      <xdr:spPr>
        <a:xfrm>
          <a:off x="6336992" y="3004608"/>
          <a:ext cx="1480797" cy="969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Children</a:t>
          </a:r>
        </a:p>
      </xdr:txBody>
    </xdr:sp>
    <xdr:clientData/>
  </xdr:twoCellAnchor>
  <xdr:twoCellAnchor>
    <xdr:from>
      <xdr:col>9</xdr:col>
      <xdr:colOff>950110</xdr:colOff>
      <xdr:row>19</xdr:row>
      <xdr:rowOff>221947</xdr:rowOff>
    </xdr:from>
    <xdr:to>
      <xdr:col>10</xdr:col>
      <xdr:colOff>406400</xdr:colOff>
      <xdr:row>23</xdr:row>
      <xdr:rowOff>19050</xdr:rowOff>
    </xdr:to>
    <xdr:sp macro="" textlink="">
      <xdr:nvSpPr>
        <xdr:cNvPr id="21" name="TextBox 20">
          <a:extLst>
            <a:ext uri="{FF2B5EF4-FFF2-40B4-BE49-F238E27FC236}">
              <a16:creationId xmlns:a16="http://schemas.microsoft.com/office/drawing/2014/main" id="{6F2AFFE1-1A71-471F-87A9-B0FEBFBD67FB}"/>
            </a:ext>
          </a:extLst>
        </xdr:cNvPr>
        <xdr:cNvSpPr txBox="1"/>
      </xdr:nvSpPr>
      <xdr:spPr>
        <a:xfrm>
          <a:off x="8744735" y="4317697"/>
          <a:ext cx="837415" cy="686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b="1"/>
            <a:t>Women</a:t>
          </a:r>
        </a:p>
      </xdr:txBody>
    </xdr:sp>
    <xdr:clientData/>
  </xdr:twoCellAnchor>
  <xdr:twoCellAnchor>
    <xdr:from>
      <xdr:col>19</xdr:col>
      <xdr:colOff>2174875</xdr:colOff>
      <xdr:row>13</xdr:row>
      <xdr:rowOff>0</xdr:rowOff>
    </xdr:from>
    <xdr:to>
      <xdr:col>28</xdr:col>
      <xdr:colOff>730250</xdr:colOff>
      <xdr:row>44</xdr:row>
      <xdr:rowOff>0</xdr:rowOff>
    </xdr:to>
    <xdr:graphicFrame macro="">
      <xdr:nvGraphicFramePr>
        <xdr:cNvPr id="28" name="Chart 6">
          <a:extLst>
            <a:ext uri="{FF2B5EF4-FFF2-40B4-BE49-F238E27FC236}">
              <a16:creationId xmlns:a16="http://schemas.microsoft.com/office/drawing/2014/main" id="{93B031C1-05EB-4E21-B254-986C5691D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19</xdr:col>
      <xdr:colOff>508000</xdr:colOff>
      <xdr:row>15</xdr:row>
      <xdr:rowOff>142875</xdr:rowOff>
    </xdr:from>
    <xdr:to>
      <xdr:col>19</xdr:col>
      <xdr:colOff>2001553</xdr:colOff>
      <xdr:row>16</xdr:row>
      <xdr:rowOff>593590</xdr:rowOff>
    </xdr:to>
    <xdr:pic>
      <xdr:nvPicPr>
        <xdr:cNvPr id="36" name="Picture 35">
          <a:extLst>
            <a:ext uri="{FF2B5EF4-FFF2-40B4-BE49-F238E27FC236}">
              <a16:creationId xmlns:a16="http://schemas.microsoft.com/office/drawing/2014/main" id="{ADF938EE-D6BA-4D77-9662-A509CAC732E0}"/>
            </a:ext>
          </a:extLst>
        </xdr:cNvPr>
        <xdr:cNvPicPr>
          <a:picLocks noChangeAspect="1"/>
        </xdr:cNvPicPr>
      </xdr:nvPicPr>
      <xdr:blipFill>
        <a:blip xmlns:r="http://schemas.openxmlformats.org/officeDocument/2006/relationships" r:embed="rId2"/>
        <a:stretch>
          <a:fillRect/>
        </a:stretch>
      </xdr:blipFill>
      <xdr:spPr>
        <a:xfrm>
          <a:off x="12128500" y="3571875"/>
          <a:ext cx="1483393" cy="626882"/>
        </a:xfrm>
        <a:prstGeom prst="rect">
          <a:avLst/>
        </a:prstGeom>
      </xdr:spPr>
    </xdr:pic>
    <xdr:clientData/>
  </xdr:twoCellAnchor>
  <xdr:twoCellAnchor>
    <xdr:from>
      <xdr:col>23</xdr:col>
      <xdr:colOff>714375</xdr:colOff>
      <xdr:row>13</xdr:row>
      <xdr:rowOff>158750</xdr:rowOff>
    </xdr:from>
    <xdr:to>
      <xdr:col>25</xdr:col>
      <xdr:colOff>671172</xdr:colOff>
      <xdr:row>19</xdr:row>
      <xdr:rowOff>48861</xdr:rowOff>
    </xdr:to>
    <xdr:sp macro="" textlink="">
      <xdr:nvSpPr>
        <xdr:cNvPr id="38" name="TextBox 35">
          <a:extLst>
            <a:ext uri="{FF2B5EF4-FFF2-40B4-BE49-F238E27FC236}">
              <a16:creationId xmlns:a16="http://schemas.microsoft.com/office/drawing/2014/main" id="{908B19E0-EFA8-423A-B040-CDB54F7BF763}"/>
            </a:ext>
          </a:extLst>
        </xdr:cNvPr>
        <xdr:cNvSpPr txBox="1"/>
      </xdr:nvSpPr>
      <xdr:spPr>
        <a:xfrm>
          <a:off x="17272000" y="3175000"/>
          <a:ext cx="1480797" cy="969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Safe and welcome</a:t>
          </a:r>
        </a:p>
      </xdr:txBody>
    </xdr:sp>
    <xdr:clientData/>
  </xdr:twoCellAnchor>
  <xdr:twoCellAnchor>
    <xdr:from>
      <xdr:col>27</xdr:col>
      <xdr:colOff>306916</xdr:colOff>
      <xdr:row>22</xdr:row>
      <xdr:rowOff>158750</xdr:rowOff>
    </xdr:from>
    <xdr:to>
      <xdr:col>29</xdr:col>
      <xdr:colOff>687916</xdr:colOff>
      <xdr:row>27</xdr:row>
      <xdr:rowOff>6527</xdr:rowOff>
    </xdr:to>
    <xdr:sp macro="" textlink="">
      <xdr:nvSpPr>
        <xdr:cNvPr id="39" name="TextBox 35">
          <a:extLst>
            <a:ext uri="{FF2B5EF4-FFF2-40B4-BE49-F238E27FC236}">
              <a16:creationId xmlns:a16="http://schemas.microsoft.com/office/drawing/2014/main" id="{B83F0686-4B85-42C3-9299-69A240B0D1BE}"/>
            </a:ext>
          </a:extLst>
        </xdr:cNvPr>
        <xdr:cNvSpPr txBox="1"/>
      </xdr:nvSpPr>
      <xdr:spPr>
        <a:xfrm>
          <a:off x="19409833" y="4783667"/>
          <a:ext cx="1883833" cy="92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Encourages</a:t>
          </a:r>
          <a:r>
            <a:rPr lang="en-GB" sz="1400" b="1" baseline="0"/>
            <a:t> walking and wheeling</a:t>
          </a:r>
          <a:endParaRPr lang="en-GB" sz="1400" b="1"/>
        </a:p>
      </xdr:txBody>
    </xdr:sp>
    <xdr:clientData/>
  </xdr:twoCellAnchor>
  <xdr:twoCellAnchor>
    <xdr:from>
      <xdr:col>27</xdr:col>
      <xdr:colOff>195792</xdr:colOff>
      <xdr:row>33</xdr:row>
      <xdr:rowOff>174625</xdr:rowOff>
    </xdr:from>
    <xdr:to>
      <xdr:col>29</xdr:col>
      <xdr:colOff>152589</xdr:colOff>
      <xdr:row>38</xdr:row>
      <xdr:rowOff>54153</xdr:rowOff>
    </xdr:to>
    <xdr:sp macro="" textlink="">
      <xdr:nvSpPr>
        <xdr:cNvPr id="40" name="TextBox 35">
          <a:extLst>
            <a:ext uri="{FF2B5EF4-FFF2-40B4-BE49-F238E27FC236}">
              <a16:creationId xmlns:a16="http://schemas.microsoft.com/office/drawing/2014/main" id="{BF559EE9-B0A8-46E8-9B54-825F6B5D55AB}"/>
            </a:ext>
          </a:extLst>
        </xdr:cNvPr>
        <xdr:cNvSpPr txBox="1"/>
      </xdr:nvSpPr>
      <xdr:spPr>
        <a:xfrm>
          <a:off x="19298709" y="7149042"/>
          <a:ext cx="1459630" cy="916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Encourages cycling</a:t>
          </a:r>
        </a:p>
      </xdr:txBody>
    </xdr:sp>
    <xdr:clientData/>
  </xdr:twoCellAnchor>
  <xdr:twoCellAnchor>
    <xdr:from>
      <xdr:col>24</xdr:col>
      <xdr:colOff>15874</xdr:colOff>
      <xdr:row>38</xdr:row>
      <xdr:rowOff>15875</xdr:rowOff>
    </xdr:from>
    <xdr:to>
      <xdr:col>25</xdr:col>
      <xdr:colOff>724089</xdr:colOff>
      <xdr:row>42</xdr:row>
      <xdr:rowOff>95250</xdr:rowOff>
    </xdr:to>
    <xdr:sp macro="" textlink="">
      <xdr:nvSpPr>
        <xdr:cNvPr id="41" name="TextBox 35">
          <a:extLst>
            <a:ext uri="{FF2B5EF4-FFF2-40B4-BE49-F238E27FC236}">
              <a16:creationId xmlns:a16="http://schemas.microsoft.com/office/drawing/2014/main" id="{03F48038-67EB-4E73-AB22-C9F27308E698}"/>
            </a:ext>
          </a:extLst>
        </xdr:cNvPr>
        <xdr:cNvSpPr txBox="1"/>
      </xdr:nvSpPr>
      <xdr:spPr>
        <a:xfrm>
          <a:off x="16906874" y="9159875"/>
          <a:ext cx="1470215" cy="96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Improves my mental health</a:t>
          </a:r>
        </a:p>
      </xdr:txBody>
    </xdr:sp>
    <xdr:clientData/>
  </xdr:twoCellAnchor>
  <xdr:twoCellAnchor>
    <xdr:from>
      <xdr:col>19</xdr:col>
      <xdr:colOff>2502957</xdr:colOff>
      <xdr:row>34</xdr:row>
      <xdr:rowOff>26458</xdr:rowOff>
    </xdr:from>
    <xdr:to>
      <xdr:col>22</xdr:col>
      <xdr:colOff>226672</xdr:colOff>
      <xdr:row>38</xdr:row>
      <xdr:rowOff>85903</xdr:rowOff>
    </xdr:to>
    <xdr:sp macro="" textlink="">
      <xdr:nvSpPr>
        <xdr:cNvPr id="42" name="TextBox 35">
          <a:extLst>
            <a:ext uri="{FF2B5EF4-FFF2-40B4-BE49-F238E27FC236}">
              <a16:creationId xmlns:a16="http://schemas.microsoft.com/office/drawing/2014/main" id="{E956A090-AA98-4C54-9E44-84210D78FCA6}"/>
            </a:ext>
          </a:extLst>
        </xdr:cNvPr>
        <xdr:cNvSpPr txBox="1"/>
      </xdr:nvSpPr>
      <xdr:spPr>
        <a:xfrm>
          <a:off x="14112874" y="7180791"/>
          <a:ext cx="1459631" cy="916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Helps me to be fit and active</a:t>
          </a:r>
        </a:p>
      </xdr:txBody>
    </xdr:sp>
    <xdr:clientData/>
  </xdr:twoCellAnchor>
  <xdr:twoCellAnchor>
    <xdr:from>
      <xdr:col>19</xdr:col>
      <xdr:colOff>2100792</xdr:colOff>
      <xdr:row>21</xdr:row>
      <xdr:rowOff>148167</xdr:rowOff>
    </xdr:from>
    <xdr:to>
      <xdr:col>22</xdr:col>
      <xdr:colOff>369548</xdr:colOff>
      <xdr:row>25</xdr:row>
      <xdr:rowOff>218194</xdr:rowOff>
    </xdr:to>
    <xdr:sp macro="" textlink="">
      <xdr:nvSpPr>
        <xdr:cNvPr id="43" name="TextBox 35">
          <a:extLst>
            <a:ext uri="{FF2B5EF4-FFF2-40B4-BE49-F238E27FC236}">
              <a16:creationId xmlns:a16="http://schemas.microsoft.com/office/drawing/2014/main" id="{3C709F50-6EBB-41F9-955A-4AD3EA78F833}"/>
            </a:ext>
          </a:extLst>
        </xdr:cNvPr>
        <xdr:cNvSpPr txBox="1"/>
      </xdr:nvSpPr>
      <xdr:spPr>
        <a:xfrm>
          <a:off x="13710709" y="4561417"/>
          <a:ext cx="2004672" cy="92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t>Reduces risks from pollution and noise</a:t>
          </a:r>
        </a:p>
      </xdr:txBody>
    </xdr:sp>
    <xdr:clientData/>
  </xdr:twoCellAnchor>
  <xdr:twoCellAnchor editAs="oneCell">
    <xdr:from>
      <xdr:col>28</xdr:col>
      <xdr:colOff>119857</xdr:colOff>
      <xdr:row>2</xdr:row>
      <xdr:rowOff>64407</xdr:rowOff>
    </xdr:from>
    <xdr:to>
      <xdr:col>29</xdr:col>
      <xdr:colOff>352425</xdr:colOff>
      <xdr:row>2</xdr:row>
      <xdr:rowOff>638174</xdr:rowOff>
    </xdr:to>
    <xdr:pic>
      <xdr:nvPicPr>
        <xdr:cNvPr id="12" name="Picture 11">
          <a:extLst>
            <a:ext uri="{FF2B5EF4-FFF2-40B4-BE49-F238E27FC236}">
              <a16:creationId xmlns:a16="http://schemas.microsoft.com/office/drawing/2014/main" id="{C094CC89-6A92-3A5E-0491-BFB328388099}"/>
            </a:ext>
          </a:extLst>
        </xdr:cNvPr>
        <xdr:cNvPicPr>
          <a:picLocks noChangeAspect="1"/>
        </xdr:cNvPicPr>
      </xdr:nvPicPr>
      <xdr:blipFill>
        <a:blip xmlns:r="http://schemas.openxmlformats.org/officeDocument/2006/relationships" r:embed="rId4"/>
        <a:stretch>
          <a:fillRect/>
        </a:stretch>
      </xdr:blipFill>
      <xdr:spPr>
        <a:xfrm>
          <a:off x="19963607" y="286657"/>
          <a:ext cx="975518" cy="5769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38843</xdr:colOff>
      <xdr:row>40</xdr:row>
      <xdr:rowOff>114300</xdr:rowOff>
    </xdr:to>
    <xdr:pic>
      <xdr:nvPicPr>
        <xdr:cNvPr id="3" name="Picture 2">
          <a:extLst>
            <a:ext uri="{FF2B5EF4-FFF2-40B4-BE49-F238E27FC236}">
              <a16:creationId xmlns:a16="http://schemas.microsoft.com/office/drawing/2014/main" id="{C26FC87E-E096-AB5A-995E-146580A41C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429030" cy="7416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145383</xdr:colOff>
      <xdr:row>14</xdr:row>
      <xdr:rowOff>110289</xdr:rowOff>
    </xdr:from>
    <xdr:to>
      <xdr:col>14</xdr:col>
      <xdr:colOff>1628776</xdr:colOff>
      <xdr:row>18</xdr:row>
      <xdr:rowOff>34215</xdr:rowOff>
    </xdr:to>
    <xdr:pic>
      <xdr:nvPicPr>
        <xdr:cNvPr id="2" name="Picture 1">
          <a:extLst>
            <a:ext uri="{FF2B5EF4-FFF2-40B4-BE49-F238E27FC236}">
              <a16:creationId xmlns:a16="http://schemas.microsoft.com/office/drawing/2014/main" id="{CDA0B848-AC52-4BEB-AE29-F2537709BE60}"/>
            </a:ext>
          </a:extLst>
        </xdr:cNvPr>
        <xdr:cNvPicPr>
          <a:picLocks noChangeAspect="1"/>
        </xdr:cNvPicPr>
      </xdr:nvPicPr>
      <xdr:blipFill>
        <a:blip xmlns:r="http://schemas.openxmlformats.org/officeDocument/2006/relationships" r:embed="rId1"/>
        <a:stretch>
          <a:fillRect/>
        </a:stretch>
      </xdr:blipFill>
      <xdr:spPr>
        <a:xfrm>
          <a:off x="13016833" y="3266239"/>
          <a:ext cx="1483393" cy="584326"/>
        </a:xfrm>
        <a:prstGeom prst="rect">
          <a:avLst/>
        </a:prstGeom>
      </xdr:spPr>
    </xdr:pic>
    <xdr:clientData/>
  </xdr:twoCellAnchor>
  <xdr:twoCellAnchor editAs="oneCell">
    <xdr:from>
      <xdr:col>16</xdr:col>
      <xdr:colOff>1409622</xdr:colOff>
      <xdr:row>2</xdr:row>
      <xdr:rowOff>34587</xdr:rowOff>
    </xdr:from>
    <xdr:to>
      <xdr:col>18</xdr:col>
      <xdr:colOff>1011281</xdr:colOff>
      <xdr:row>2</xdr:row>
      <xdr:rowOff>640829</xdr:rowOff>
    </xdr:to>
    <xdr:pic>
      <xdr:nvPicPr>
        <xdr:cNvPr id="3" name="Picture 2">
          <a:extLst>
            <a:ext uri="{FF2B5EF4-FFF2-40B4-BE49-F238E27FC236}">
              <a16:creationId xmlns:a16="http://schemas.microsoft.com/office/drawing/2014/main" id="{D49F950E-9B38-407D-9A54-B10C2AF1FE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18072" y="244137"/>
          <a:ext cx="2471859" cy="60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57929</xdr:colOff>
      <xdr:row>10</xdr:row>
      <xdr:rowOff>159638</xdr:rowOff>
    </xdr:from>
    <xdr:to>
      <xdr:col>21</xdr:col>
      <xdr:colOff>0</xdr:colOff>
      <xdr:row>54</xdr:row>
      <xdr:rowOff>106195</xdr:rowOff>
    </xdr:to>
    <xdr:grpSp>
      <xdr:nvGrpSpPr>
        <xdr:cNvPr id="4" name="Group 2">
          <a:extLst>
            <a:ext uri="{FF2B5EF4-FFF2-40B4-BE49-F238E27FC236}">
              <a16:creationId xmlns:a16="http://schemas.microsoft.com/office/drawing/2014/main" id="{AD8C0C23-2017-460E-942A-D0A9E1913D36}"/>
            </a:ext>
          </a:extLst>
        </xdr:cNvPr>
        <xdr:cNvGrpSpPr/>
      </xdr:nvGrpSpPr>
      <xdr:grpSpPr>
        <a:xfrm>
          <a:off x="11989579" y="2483738"/>
          <a:ext cx="9340071" cy="9198507"/>
          <a:chOff x="11610394" y="1791226"/>
          <a:chExt cx="8977213" cy="8381311"/>
        </a:xfrm>
      </xdr:grpSpPr>
      <xdr:grpSp>
        <xdr:nvGrpSpPr>
          <xdr:cNvPr id="5" name="Group 26">
            <a:extLst>
              <a:ext uri="{FF2B5EF4-FFF2-40B4-BE49-F238E27FC236}">
                <a16:creationId xmlns:a16="http://schemas.microsoft.com/office/drawing/2014/main" id="{CA4C2369-7DB7-414F-3A60-1097FD9FEA25}"/>
              </a:ext>
            </a:extLst>
          </xdr:cNvPr>
          <xdr:cNvGrpSpPr/>
        </xdr:nvGrpSpPr>
        <xdr:grpSpPr>
          <a:xfrm>
            <a:off x="11610394" y="1791226"/>
            <a:ext cx="8977213" cy="8381311"/>
            <a:chOff x="10677432" y="606000"/>
            <a:chExt cx="8332453" cy="7624460"/>
          </a:xfrm>
        </xdr:grpSpPr>
        <xdr:sp macro="" textlink="">
          <xdr:nvSpPr>
            <xdr:cNvPr id="12" name="Oval 23">
              <a:extLst>
                <a:ext uri="{FF2B5EF4-FFF2-40B4-BE49-F238E27FC236}">
                  <a16:creationId xmlns:a16="http://schemas.microsoft.com/office/drawing/2014/main" id="{F9259A3D-7E53-D15D-49EA-6956A785BD06}"/>
                </a:ext>
              </a:extLst>
            </xdr:cNvPr>
            <xdr:cNvSpPr>
              <a:spLocks noChangeAspect="1"/>
            </xdr:cNvSpPr>
          </xdr:nvSpPr>
          <xdr:spPr>
            <a:xfrm>
              <a:off x="14572706" y="1060835"/>
              <a:ext cx="906096" cy="820954"/>
            </a:xfrm>
            <a:prstGeom prst="ellipse">
              <a:avLst/>
            </a:prstGeom>
            <a:solidFill>
              <a:srgbClr val="E51E4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endParaRPr lang="en-US" sz="1500" b="1">
                <a:solidFill>
                  <a:schemeClr val="accent6">
                    <a:lumMod val="50000"/>
                  </a:schemeClr>
                </a:solidFill>
              </a:endParaRPr>
            </a:p>
          </xdr:txBody>
        </xdr:sp>
        <xdr:graphicFrame macro="">
          <xdr:nvGraphicFramePr>
            <xdr:cNvPr id="13" name="Chart 6">
              <a:extLst>
                <a:ext uri="{FF2B5EF4-FFF2-40B4-BE49-F238E27FC236}">
                  <a16:creationId xmlns:a16="http://schemas.microsoft.com/office/drawing/2014/main" id="{89CA8519-5845-BA93-695C-C14CD56F4D64}"/>
                </a:ext>
              </a:extLst>
            </xdr:cNvPr>
            <xdr:cNvGraphicFramePr>
              <a:graphicFrameLocks/>
            </xdr:cNvGraphicFramePr>
          </xdr:nvGraphicFramePr>
          <xdr:xfrm>
            <a:off x="10677432" y="606000"/>
            <a:ext cx="8332453" cy="7624460"/>
          </xdr:xfrm>
          <a:graphic>
            <a:graphicData uri="http://schemas.openxmlformats.org/drawingml/2006/chart">
              <c:chart xmlns:c="http://schemas.openxmlformats.org/drawingml/2006/chart" xmlns:r="http://schemas.openxmlformats.org/officeDocument/2006/relationships" r:id="rId3"/>
            </a:graphicData>
          </a:graphic>
        </xdr:graphicFrame>
        <xdr:sp macro="" textlink="$D$10">
          <xdr:nvSpPr>
            <xdr:cNvPr id="14" name="Oval 16">
              <a:extLst>
                <a:ext uri="{FF2B5EF4-FFF2-40B4-BE49-F238E27FC236}">
                  <a16:creationId xmlns:a16="http://schemas.microsoft.com/office/drawing/2014/main" id="{EC6D6DF1-F390-FB3F-5D1B-58C24D47883B}"/>
                </a:ext>
              </a:extLst>
            </xdr:cNvPr>
            <xdr:cNvSpPr>
              <a:spLocks noChangeAspect="1"/>
            </xdr:cNvSpPr>
          </xdr:nvSpPr>
          <xdr:spPr>
            <a:xfrm>
              <a:off x="16087463" y="6983555"/>
              <a:ext cx="824467" cy="820656"/>
            </a:xfrm>
            <a:prstGeom prst="ellipse">
              <a:avLst/>
            </a:prstGeom>
            <a:solidFill>
              <a:schemeClr val="accent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3">
          <xdr:nvSpPr>
            <xdr:cNvPr id="15" name="Oval 17">
              <a:extLst>
                <a:ext uri="{FF2B5EF4-FFF2-40B4-BE49-F238E27FC236}">
                  <a16:creationId xmlns:a16="http://schemas.microsoft.com/office/drawing/2014/main" id="{C689914A-00EE-147F-4D09-07F8A6E0E960}"/>
                </a:ext>
              </a:extLst>
            </xdr:cNvPr>
            <xdr:cNvSpPr>
              <a:spLocks noChangeAspect="1"/>
            </xdr:cNvSpPr>
          </xdr:nvSpPr>
          <xdr:spPr>
            <a:xfrm>
              <a:off x="12139795" y="2215338"/>
              <a:ext cx="818972" cy="820656"/>
            </a:xfrm>
            <a:prstGeom prst="ellipse">
              <a:avLst/>
            </a:prstGeom>
            <a:solidFill>
              <a:srgbClr val="9F182F"/>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9">
          <xdr:nvSpPr>
            <xdr:cNvPr id="16" name="Oval 20">
              <a:extLst>
                <a:ext uri="{FF2B5EF4-FFF2-40B4-BE49-F238E27FC236}">
                  <a16:creationId xmlns:a16="http://schemas.microsoft.com/office/drawing/2014/main" id="{2F82A525-2E94-215E-DE48-EEC6DBDA5593}"/>
                </a:ext>
              </a:extLst>
            </xdr:cNvPr>
            <xdr:cNvSpPr>
              <a:spLocks noChangeAspect="1"/>
            </xdr:cNvSpPr>
          </xdr:nvSpPr>
          <xdr:spPr>
            <a:xfrm>
              <a:off x="17778062" y="4902927"/>
              <a:ext cx="832182" cy="820656"/>
            </a:xfrm>
            <a:prstGeom prst="ellipse">
              <a:avLst/>
            </a:prstGeom>
            <a:solidFill>
              <a:srgbClr val="E9531D"/>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11">
          <xdr:nvSpPr>
            <xdr:cNvPr id="17" name="Oval 21">
              <a:extLst>
                <a:ext uri="{FF2B5EF4-FFF2-40B4-BE49-F238E27FC236}">
                  <a16:creationId xmlns:a16="http://schemas.microsoft.com/office/drawing/2014/main" id="{7515506B-2D01-55F8-0C91-7AFE774EA2A0}"/>
                </a:ext>
              </a:extLst>
            </xdr:cNvPr>
            <xdr:cNvSpPr>
              <a:spLocks noChangeAspect="1"/>
            </xdr:cNvSpPr>
          </xdr:nvSpPr>
          <xdr:spPr>
            <a:xfrm>
              <a:off x="13207456" y="6994554"/>
              <a:ext cx="817889" cy="820656"/>
            </a:xfrm>
            <a:prstGeom prst="ellipse">
              <a:avLst/>
            </a:prstGeom>
            <a:solidFill>
              <a:schemeClr val="tx2">
                <a:lumMod val="50000"/>
              </a:schemeClr>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sp macro="" textlink="$D$8">
          <xdr:nvSpPr>
            <xdr:cNvPr id="18" name="Oval 22">
              <a:extLst>
                <a:ext uri="{FF2B5EF4-FFF2-40B4-BE49-F238E27FC236}">
                  <a16:creationId xmlns:a16="http://schemas.microsoft.com/office/drawing/2014/main" id="{5D431040-F842-2930-F785-63CE7A18B4AD}"/>
                </a:ext>
              </a:extLst>
            </xdr:cNvPr>
            <xdr:cNvSpPr>
              <a:spLocks noChangeAspect="1"/>
            </xdr:cNvSpPr>
          </xdr:nvSpPr>
          <xdr:spPr>
            <a:xfrm>
              <a:off x="17094061" y="2198341"/>
              <a:ext cx="818974" cy="820656"/>
            </a:xfrm>
            <a:prstGeom prst="ellipse">
              <a:avLst/>
            </a:prstGeom>
            <a:solidFill>
              <a:schemeClr val="accent6">
                <a:lumMod val="75000"/>
              </a:schemeClr>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300" b="1" i="0" u="none" strike="noStrike">
                <a:solidFill>
                  <a:schemeClr val="accent6">
                    <a:lumMod val="50000"/>
                  </a:schemeClr>
                </a:solidFill>
                <a:latin typeface="Calibri"/>
                <a:ea typeface="+mn-ea"/>
                <a:cs typeface="Calibri"/>
              </a:endParaRPr>
            </a:p>
          </xdr:txBody>
        </xdr:sp>
        <xdr:sp macro="" textlink="$D$12">
          <xdr:nvSpPr>
            <xdr:cNvPr id="19" name="Oval 24">
              <a:extLst>
                <a:ext uri="{FF2B5EF4-FFF2-40B4-BE49-F238E27FC236}">
                  <a16:creationId xmlns:a16="http://schemas.microsoft.com/office/drawing/2014/main" id="{BEA60809-702F-FE14-7AC0-E0E2D182D2E1}"/>
                </a:ext>
              </a:extLst>
            </xdr:cNvPr>
            <xdr:cNvSpPr>
              <a:spLocks noChangeAspect="1"/>
            </xdr:cNvSpPr>
          </xdr:nvSpPr>
          <xdr:spPr>
            <a:xfrm>
              <a:off x="11482714" y="4927411"/>
              <a:ext cx="822083" cy="820486"/>
            </a:xfrm>
            <a:prstGeom prst="ellipse">
              <a:avLst/>
            </a:prstGeom>
            <a:solidFill>
              <a:srgbClr val="512D64"/>
            </a:solidFill>
            <a:ln w="38100">
              <a:solidFill>
                <a:schemeClr val="bg1">
                  <a:lumMod val="50000"/>
                </a:schemeClr>
              </a:solidFill>
              <a:prstDash val="sysDot"/>
            </a:ln>
          </xdr:spPr>
          <xdr:style>
            <a:lnRef idx="2">
              <a:schemeClr val="accent6">
                <a:shade val="50000"/>
              </a:schemeClr>
            </a:lnRef>
            <a:fillRef idx="1">
              <a:schemeClr val="accent6"/>
            </a:fillRef>
            <a:effectRef idx="0">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GB" sz="1500" b="1" i="0" u="none" strike="noStrike">
                <a:solidFill>
                  <a:schemeClr val="accent6">
                    <a:lumMod val="50000"/>
                  </a:schemeClr>
                </a:solidFill>
                <a:latin typeface="Calibri"/>
                <a:ea typeface="+mn-ea"/>
                <a:cs typeface="Calibri"/>
              </a:endParaRPr>
            </a:p>
          </xdr:txBody>
        </xdr:sp>
      </xdr:grpSp>
      <xdr:sp macro="" textlink="">
        <xdr:nvSpPr>
          <xdr:cNvPr id="6" name="TextBox 30">
            <a:extLst>
              <a:ext uri="{FF2B5EF4-FFF2-40B4-BE49-F238E27FC236}">
                <a16:creationId xmlns:a16="http://schemas.microsoft.com/office/drawing/2014/main" id="{2F65FDE2-8ABD-2611-FDFB-0A490BBD2840}"/>
              </a:ext>
            </a:extLst>
          </xdr:cNvPr>
          <xdr:cNvSpPr txBox="1"/>
        </xdr:nvSpPr>
        <xdr:spPr>
          <a:xfrm>
            <a:off x="19186049" y="7304122"/>
            <a:ext cx="1302789" cy="89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Public transport users</a:t>
            </a:r>
          </a:p>
        </xdr:txBody>
      </xdr:sp>
      <xdr:sp macro="" textlink="">
        <xdr:nvSpPr>
          <xdr:cNvPr id="7" name="TextBox 31">
            <a:extLst>
              <a:ext uri="{FF2B5EF4-FFF2-40B4-BE49-F238E27FC236}">
                <a16:creationId xmlns:a16="http://schemas.microsoft.com/office/drawing/2014/main" id="{F9D75486-33BB-86DF-C167-6C5162A47D50}"/>
              </a:ext>
            </a:extLst>
          </xdr:cNvPr>
          <xdr:cNvSpPr txBox="1"/>
        </xdr:nvSpPr>
        <xdr:spPr>
          <a:xfrm>
            <a:off x="18165639" y="8798403"/>
            <a:ext cx="1646579" cy="86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Older adults</a:t>
            </a:r>
          </a:p>
        </xdr:txBody>
      </xdr:sp>
      <xdr:sp macro="" textlink="">
        <xdr:nvSpPr>
          <xdr:cNvPr id="8" name="TextBox 32">
            <a:extLst>
              <a:ext uri="{FF2B5EF4-FFF2-40B4-BE49-F238E27FC236}">
                <a16:creationId xmlns:a16="http://schemas.microsoft.com/office/drawing/2014/main" id="{B10A36BE-6766-1193-5EE4-5C009B35C371}"/>
              </a:ext>
            </a:extLst>
          </xdr:cNvPr>
          <xdr:cNvSpPr txBox="1"/>
        </xdr:nvSpPr>
        <xdr:spPr>
          <a:xfrm>
            <a:off x="12656089" y="8873014"/>
            <a:ext cx="1659828" cy="861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mobility</a:t>
            </a:r>
            <a:r>
              <a:rPr lang="en-GB" sz="1100" b="1" baseline="0"/>
              <a:t> impairments</a:t>
            </a:r>
            <a:endParaRPr lang="en-GB" sz="1100" b="1"/>
          </a:p>
        </xdr:txBody>
      </xdr:sp>
      <xdr:sp macro="" textlink="">
        <xdr:nvSpPr>
          <xdr:cNvPr id="9" name="TextBox 33">
            <a:extLst>
              <a:ext uri="{FF2B5EF4-FFF2-40B4-BE49-F238E27FC236}">
                <a16:creationId xmlns:a16="http://schemas.microsoft.com/office/drawing/2014/main" id="{A7056BA4-5851-92CA-19E0-E86D9B7BC820}"/>
              </a:ext>
            </a:extLst>
          </xdr:cNvPr>
          <xdr:cNvSpPr txBox="1"/>
        </xdr:nvSpPr>
        <xdr:spPr>
          <a:xfrm>
            <a:off x="12219112" y="7238148"/>
            <a:ext cx="1438054" cy="87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visual/ sensory</a:t>
            </a:r>
            <a:r>
              <a:rPr lang="en-GB" sz="1100" b="1" baseline="0"/>
              <a:t> impairments</a:t>
            </a:r>
            <a:endParaRPr lang="en-GB" sz="1100" b="1"/>
          </a:p>
        </xdr:txBody>
      </xdr:sp>
      <xdr:sp macro="" textlink="">
        <xdr:nvSpPr>
          <xdr:cNvPr id="10" name="TextBox 34">
            <a:extLst>
              <a:ext uri="{FF2B5EF4-FFF2-40B4-BE49-F238E27FC236}">
                <a16:creationId xmlns:a16="http://schemas.microsoft.com/office/drawing/2014/main" id="{5033B241-A21A-4351-24A4-7D01288588D4}"/>
              </a:ext>
            </a:extLst>
          </xdr:cNvPr>
          <xdr:cNvSpPr txBox="1"/>
        </xdr:nvSpPr>
        <xdr:spPr>
          <a:xfrm>
            <a:off x="12345139" y="4303256"/>
            <a:ext cx="1398192" cy="854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People with underlying health problems</a:t>
            </a:r>
          </a:p>
        </xdr:txBody>
      </xdr:sp>
      <xdr:sp macro="" textlink="">
        <xdr:nvSpPr>
          <xdr:cNvPr id="11" name="TextBox 29">
            <a:extLst>
              <a:ext uri="{FF2B5EF4-FFF2-40B4-BE49-F238E27FC236}">
                <a16:creationId xmlns:a16="http://schemas.microsoft.com/office/drawing/2014/main" id="{1C951A25-78C4-9E46-6454-34A1D6A56B48}"/>
              </a:ext>
            </a:extLst>
          </xdr:cNvPr>
          <xdr:cNvSpPr txBox="1"/>
        </xdr:nvSpPr>
        <xdr:spPr>
          <a:xfrm>
            <a:off x="15836771" y="2271366"/>
            <a:ext cx="955532" cy="90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1</a:t>
            </a:r>
          </a:p>
        </xdr:txBody>
      </xdr:sp>
    </xdr:grpSp>
    <xdr:clientData/>
  </xdr:twoCellAnchor>
  <xdr:twoCellAnchor>
    <xdr:from>
      <xdr:col>16</xdr:col>
      <xdr:colOff>580716</xdr:colOff>
      <xdr:row>11</xdr:row>
      <xdr:rowOff>188757</xdr:rowOff>
    </xdr:from>
    <xdr:to>
      <xdr:col>17</xdr:col>
      <xdr:colOff>1060330</xdr:colOff>
      <xdr:row>17</xdr:row>
      <xdr:rowOff>59445</xdr:rowOff>
    </xdr:to>
    <xdr:sp macro="" textlink="">
      <xdr:nvSpPr>
        <xdr:cNvPr id="20" name="TextBox 35">
          <a:extLst>
            <a:ext uri="{FF2B5EF4-FFF2-40B4-BE49-F238E27FC236}">
              <a16:creationId xmlns:a16="http://schemas.microsoft.com/office/drawing/2014/main" id="{11112F75-0C03-488C-9C24-5181BAB5EB54}"/>
            </a:ext>
          </a:extLst>
        </xdr:cNvPr>
        <xdr:cNvSpPr txBox="1"/>
      </xdr:nvSpPr>
      <xdr:spPr>
        <a:xfrm>
          <a:off x="17389166" y="2728757"/>
          <a:ext cx="1914714" cy="924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Children</a:t>
          </a:r>
        </a:p>
      </xdr:txBody>
    </xdr:sp>
    <xdr:clientData/>
  </xdr:twoCellAnchor>
  <xdr:twoCellAnchor>
    <xdr:from>
      <xdr:col>18</xdr:col>
      <xdr:colOff>358502</xdr:colOff>
      <xdr:row>18</xdr:row>
      <xdr:rowOff>214539</xdr:rowOff>
    </xdr:from>
    <xdr:to>
      <xdr:col>21</xdr:col>
      <xdr:colOff>0</xdr:colOff>
      <xdr:row>23</xdr:row>
      <xdr:rowOff>61617</xdr:rowOff>
    </xdr:to>
    <xdr:sp macro="" textlink="">
      <xdr:nvSpPr>
        <xdr:cNvPr id="21" name="TextBox 20">
          <a:extLst>
            <a:ext uri="{FF2B5EF4-FFF2-40B4-BE49-F238E27FC236}">
              <a16:creationId xmlns:a16="http://schemas.microsoft.com/office/drawing/2014/main" id="{83C17992-08F3-4D4C-8C0B-249185E684CA}"/>
            </a:ext>
          </a:extLst>
        </xdr:cNvPr>
        <xdr:cNvSpPr txBox="1"/>
      </xdr:nvSpPr>
      <xdr:spPr>
        <a:xfrm>
          <a:off x="20037152" y="4030889"/>
          <a:ext cx="1279798" cy="932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t>Women</a:t>
          </a:r>
        </a:p>
      </xdr:txBody>
    </xdr:sp>
    <xdr:clientData/>
  </xdr:twoCellAnchor>
  <xdr:twoCellAnchor>
    <xdr:from>
      <xdr:col>17</xdr:col>
      <xdr:colOff>880210</xdr:colOff>
      <xdr:row>20</xdr:row>
      <xdr:rowOff>161472</xdr:rowOff>
    </xdr:from>
    <xdr:to>
      <xdr:col>18</xdr:col>
      <xdr:colOff>412750</xdr:colOff>
      <xdr:row>24</xdr:row>
      <xdr:rowOff>220638</xdr:rowOff>
    </xdr:to>
    <xdr:sp macro="" textlink="">
      <xdr:nvSpPr>
        <xdr:cNvPr id="22" name="TextBox 21">
          <a:extLst>
            <a:ext uri="{FF2B5EF4-FFF2-40B4-BE49-F238E27FC236}">
              <a16:creationId xmlns:a16="http://schemas.microsoft.com/office/drawing/2014/main" id="{918DA595-3A2D-4BDC-97F3-0AD2576B4884}"/>
            </a:ext>
          </a:extLst>
        </xdr:cNvPr>
        <xdr:cNvSpPr txBox="1"/>
      </xdr:nvSpPr>
      <xdr:spPr>
        <a:xfrm>
          <a:off x="19120585" y="4479472"/>
          <a:ext cx="961290" cy="948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2</a:t>
          </a:r>
        </a:p>
      </xdr:txBody>
    </xdr:sp>
    <xdr:clientData/>
  </xdr:twoCellAnchor>
  <xdr:twoCellAnchor>
    <xdr:from>
      <xdr:col>18</xdr:col>
      <xdr:colOff>284895</xdr:colOff>
      <xdr:row>35</xdr:row>
      <xdr:rowOff>114644</xdr:rowOff>
    </xdr:from>
    <xdr:to>
      <xdr:col>18</xdr:col>
      <xdr:colOff>1244643</xdr:colOff>
      <xdr:row>39</xdr:row>
      <xdr:rowOff>182992</xdr:rowOff>
    </xdr:to>
    <xdr:sp macro="" textlink="">
      <xdr:nvSpPr>
        <xdr:cNvPr id="23" name="TextBox 22">
          <a:extLst>
            <a:ext uri="{FF2B5EF4-FFF2-40B4-BE49-F238E27FC236}">
              <a16:creationId xmlns:a16="http://schemas.microsoft.com/office/drawing/2014/main" id="{8C7D3D6D-30CD-4702-A99E-3A876B9F9FB0}"/>
            </a:ext>
          </a:extLst>
        </xdr:cNvPr>
        <xdr:cNvSpPr txBox="1"/>
      </xdr:nvSpPr>
      <xdr:spPr>
        <a:xfrm>
          <a:off x="19963545" y="7582244"/>
          <a:ext cx="959748" cy="938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3</a:t>
          </a:r>
        </a:p>
      </xdr:txBody>
    </xdr:sp>
    <xdr:clientData/>
  </xdr:twoCellAnchor>
  <xdr:twoCellAnchor>
    <xdr:from>
      <xdr:col>16</xdr:col>
      <xdr:colOff>1176525</xdr:colOff>
      <xdr:row>46</xdr:row>
      <xdr:rowOff>138231</xdr:rowOff>
    </xdr:from>
    <xdr:to>
      <xdr:col>17</xdr:col>
      <xdr:colOff>700176</xdr:colOff>
      <xdr:row>52</xdr:row>
      <xdr:rowOff>206577</xdr:rowOff>
    </xdr:to>
    <xdr:sp macro="" textlink="">
      <xdr:nvSpPr>
        <xdr:cNvPr id="24" name="TextBox 23">
          <a:extLst>
            <a:ext uri="{FF2B5EF4-FFF2-40B4-BE49-F238E27FC236}">
              <a16:creationId xmlns:a16="http://schemas.microsoft.com/office/drawing/2014/main" id="{3740073C-F7BD-47BD-BF76-745DC6F2AA7A}"/>
            </a:ext>
          </a:extLst>
        </xdr:cNvPr>
        <xdr:cNvSpPr txBox="1"/>
      </xdr:nvSpPr>
      <xdr:spPr>
        <a:xfrm>
          <a:off x="17988150" y="10202981"/>
          <a:ext cx="952401" cy="1401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4</a:t>
          </a:r>
        </a:p>
      </xdr:txBody>
    </xdr:sp>
    <xdr:clientData/>
  </xdr:twoCellAnchor>
  <xdr:twoCellAnchor>
    <xdr:from>
      <xdr:col>14</xdr:col>
      <xdr:colOff>1937528</xdr:colOff>
      <xdr:row>46</xdr:row>
      <xdr:rowOff>131609</xdr:rowOff>
    </xdr:from>
    <xdr:to>
      <xdr:col>15</xdr:col>
      <xdr:colOff>421320</xdr:colOff>
      <xdr:row>52</xdr:row>
      <xdr:rowOff>190430</xdr:rowOff>
    </xdr:to>
    <xdr:sp macro="" textlink="">
      <xdr:nvSpPr>
        <xdr:cNvPr id="25" name="TextBox 24">
          <a:extLst>
            <a:ext uri="{FF2B5EF4-FFF2-40B4-BE49-F238E27FC236}">
              <a16:creationId xmlns:a16="http://schemas.microsoft.com/office/drawing/2014/main" id="{A047D543-C8C7-43E6-8FA4-4EF12FE18331}"/>
            </a:ext>
          </a:extLst>
        </xdr:cNvPr>
        <xdr:cNvSpPr txBox="1"/>
      </xdr:nvSpPr>
      <xdr:spPr>
        <a:xfrm>
          <a:off x="14812153" y="10196359"/>
          <a:ext cx="992042" cy="1392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5</a:t>
          </a:r>
        </a:p>
      </xdr:txBody>
    </xdr:sp>
    <xdr:clientData/>
  </xdr:twoCellAnchor>
  <xdr:twoCellAnchor>
    <xdr:from>
      <xdr:col>13</xdr:col>
      <xdr:colOff>124875</xdr:colOff>
      <xdr:row>35</xdr:row>
      <xdr:rowOff>212433</xdr:rowOff>
    </xdr:from>
    <xdr:to>
      <xdr:col>14</xdr:col>
      <xdr:colOff>951273</xdr:colOff>
      <xdr:row>40</xdr:row>
      <xdr:rowOff>49006</xdr:rowOff>
    </xdr:to>
    <xdr:sp macro="" textlink="">
      <xdr:nvSpPr>
        <xdr:cNvPr id="26" name="TextBox 25">
          <a:extLst>
            <a:ext uri="{FF2B5EF4-FFF2-40B4-BE49-F238E27FC236}">
              <a16:creationId xmlns:a16="http://schemas.microsoft.com/office/drawing/2014/main" id="{F6917EC4-23FB-4AB2-9171-236EF476BCF0}"/>
            </a:ext>
          </a:extLst>
        </xdr:cNvPr>
        <xdr:cNvSpPr txBox="1"/>
      </xdr:nvSpPr>
      <xdr:spPr>
        <a:xfrm>
          <a:off x="12872500" y="7832433"/>
          <a:ext cx="953398" cy="94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6</a:t>
          </a:r>
        </a:p>
      </xdr:txBody>
    </xdr:sp>
    <xdr:clientData/>
  </xdr:twoCellAnchor>
  <xdr:twoCellAnchor>
    <xdr:from>
      <xdr:col>14</xdr:col>
      <xdr:colOff>865830</xdr:colOff>
      <xdr:row>20</xdr:row>
      <xdr:rowOff>144491</xdr:rowOff>
    </xdr:from>
    <xdr:to>
      <xdr:col>14</xdr:col>
      <xdr:colOff>1845263</xdr:colOff>
      <xdr:row>24</xdr:row>
      <xdr:rowOff>207213</xdr:rowOff>
    </xdr:to>
    <xdr:sp macro="" textlink="">
      <xdr:nvSpPr>
        <xdr:cNvPr id="27" name="TextBox 26">
          <a:extLst>
            <a:ext uri="{FF2B5EF4-FFF2-40B4-BE49-F238E27FC236}">
              <a16:creationId xmlns:a16="http://schemas.microsoft.com/office/drawing/2014/main" id="{CA86A6E4-96FC-445C-96AB-5CADCAED9FBB}"/>
            </a:ext>
          </a:extLst>
        </xdr:cNvPr>
        <xdr:cNvSpPr txBox="1"/>
      </xdr:nvSpPr>
      <xdr:spPr>
        <a:xfrm>
          <a:off x="13737280" y="4392641"/>
          <a:ext cx="979433" cy="932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500" b="1">
              <a:solidFill>
                <a:schemeClr val="bg1"/>
              </a:solidFill>
            </a:rPr>
            <a:t>7</a:t>
          </a:r>
        </a:p>
      </xdr:txBody>
    </xdr:sp>
    <xdr:clientData/>
  </xdr:twoCellAnchor>
</xdr:wsDr>
</file>

<file path=xl/persons/person.xml><?xml version="1.0" encoding="utf-8"?>
<personList xmlns="http://schemas.microsoft.com/office/spreadsheetml/2018/threadedcomments" xmlns:x="http://schemas.openxmlformats.org/spreadsheetml/2006/main">
  <person displayName="Andy Howard" id="{8A293C2B-49D1-4A01-99A7-4546BEE5F5CC}" userId="Andy.Howard@TFGM.com" providerId="PeoplePicker"/>
  <person displayName="Lily Feasby" id="{2BDD15F5-62E5-4F2F-9DEC-26CF4AAD7F17}" userId="Lily.Feasby@tfgm.com" providerId="PeoplePicker"/>
  <person displayName="Dominic Smith" id="{522AC247-82BE-432F-980C-E8A383E76041}" userId="Dominic.Smith@tfgm.com" providerId="PeoplePicker"/>
  <person displayName="Lily Feasby" id="{2A872188-9E36-4190-B261-268F56139DAD}" userId="S::lily.feasby@tfgm.com::c68015fb-5aec-43f5-8df2-189d32995ddf" providerId="AD"/>
  <person displayName="Dominic Smith" id="{E0B3F277-BA03-461D-9944-F83E9160D30F}" userId="S::Dominic.Smith@tfgm.com::62d86971-9700-4293-9e79-b5fdf5d8d199" providerId="AD"/>
</personList>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8" dT="2024-01-16T16:36:21.41" personId="{2A872188-9E36-4190-B261-268F56139DAD}" id="{7CB5BA12-90CC-4CFF-B3A6-ABEE9803605A}">
    <text>Move metrics 30 and 31 into street environment and design category</text>
  </threadedComment>
</ThreadedComments>
</file>

<file path=xl/threadedComments/threadedComment2.xml><?xml version="1.0" encoding="utf-8"?>
<ThreadedComments xmlns="http://schemas.microsoft.com/office/spreadsheetml/2018/threadedcomments" xmlns:x="http://schemas.openxmlformats.org/spreadsheetml/2006/main">
  <threadedComment ref="A38" dT="2024-01-16T16:35:53.63" personId="{2A872188-9E36-4190-B261-268F56139DAD}" id="{3E253CA9-64F8-47CE-952B-5634A326A330}">
    <text>Move metrics 30 and 31 into Street environment and design</text>
  </threadedComment>
</ThreadedComments>
</file>

<file path=xl/threadedComments/threadedComment3.xml><?xml version="1.0" encoding="utf-8"?>
<ThreadedComments xmlns="http://schemas.microsoft.com/office/spreadsheetml/2018/threadedcomments" xmlns:x="http://schemas.openxmlformats.org/spreadsheetml/2006/main">
  <threadedComment ref="AE28" dT="2022-11-24T16:24:24.14" personId="{2A872188-9E36-4190-B261-268F56139DAD}" id="{22023C55-4A9B-4788-829A-58335476A88B}">
    <text>@Dominic Smith @Andy Howard Please resolve this? If wording is changed, then changes need to be reflected in Scoring tab.</text>
    <mentions>
      <mention mentionpersonId="{522AC247-82BE-432F-980C-E8A383E76041}" mentionId="{EDACE696-B08E-4409-A4C4-DF5C8DF58504}" startIndex="0" length="14"/>
      <mention mentionpersonId="{8A293C2B-49D1-4A01-99A7-4546BEE5F5CC}" mentionId="{4793E501-2A27-43FF-8139-6E1BD4B44D35}" startIndex="15" length="12"/>
    </mentions>
  </threadedComment>
  <threadedComment ref="AE28" dT="2022-11-28T18:22:21.97" personId="{E0B3F277-BA03-461D-9944-F83E9160D30F}" id="{CD209CE2-3DA2-41F1-AFA6-E91ED9825D6A}" parentId="{22023C55-4A9B-4788-829A-58335476A88B}">
    <text>@Andy Howard @Lily Feasby I think this is now dealt with in metric 37 - so Andy's comment can be deleted?</text>
    <mentions>
      <mention mentionpersonId="{8A293C2B-49D1-4A01-99A7-4546BEE5F5CC}" mentionId="{FB230C07-0366-492D-95AA-B61AC7D7079A}" startIndex="0" length="12"/>
      <mention mentionpersonId="{2BDD15F5-62E5-4F2F-9DEC-26CF4AAD7F17}" mentionId="{50879A8D-D9A1-4F2D-95E5-2FDA82E35372}" startIndex="13" length="12"/>
    </mentions>
  </threadedComment>
  <threadedComment ref="AE38" dT="2022-11-28T18:32:57.74" personId="{E0B3F277-BA03-461D-9944-F83E9160D30F}" id="{DB00F883-221B-4A59-AF9A-8B3E34F4FB7D}">
    <text>@Andy Howard yes I agree with you. Can this be deleted as I think the metrics reflect what you're saying?</text>
    <mentions>
      <mention mentionpersonId="{8A293C2B-49D1-4A01-99A7-4546BEE5F5CC}" mentionId="{AB35BCE0-3E1E-47C2-BE3C-73661EA3CE52}"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8" Type="http://schemas.openxmlformats.org/officeDocument/2006/relationships/hyperlink" Target="https://cleanairgm.com/data-hub/" TargetMode="External"/><Relationship Id="rId13" Type="http://schemas.openxmlformats.org/officeDocument/2006/relationships/hyperlink" Target="https://assets.publishing.service.gov.uk/government/uploads/system/uploads/attachment_data/file/951074/cycle-infrastructure-design-ltn-1-20.pdf" TargetMode="External"/><Relationship Id="rId18" Type="http://schemas.openxmlformats.org/officeDocument/2006/relationships/hyperlink" Target="https://assets.publishing.service.gov.uk/government/uploads/system/uploads/attachment_data/file/951074/cycle-infrastructure-design-ltn-1-20.pdf" TargetMode="External"/><Relationship Id="rId26" Type="http://schemas.openxmlformats.org/officeDocument/2006/relationships/hyperlink" Target="https://content.tfl.gov.uk/kerbside-loading-guidance.pdf" TargetMode="External"/><Relationship Id="rId3" Type="http://schemas.openxmlformats.org/officeDocument/2006/relationships/hyperlink" Target="https://thecityfix.com/blog/how-eyes-on-the-street-contribute-public-safety-nossa-cidade-priscila-pacheco-kichler/" TargetMode="External"/><Relationship Id="rId21" Type="http://schemas.openxmlformats.org/officeDocument/2006/relationships/hyperlink" Target="file:///C:\Users\sian.peake-jones\AppData\Local\Microsoft\Windows\INetCache\Content.Outlook\SH2VNI0L\Guidance%20on%20intergreen%20times" TargetMode="External"/><Relationship Id="rId7" Type="http://schemas.openxmlformats.org/officeDocument/2006/relationships/hyperlink" Target="https://globaldesigningcities.org/publication/designing-streets-for-kids/" TargetMode="External"/><Relationship Id="rId12" Type="http://schemas.openxmlformats.org/officeDocument/2006/relationships/hyperlink" Target="https://assets.publishing.service.gov.uk/government/uploads/system/uploads/attachment_data/file/951074/cycle-infrastructure-design-ltn-1-20.pdf" TargetMode="External"/><Relationship Id="rId17" Type="http://schemas.openxmlformats.org/officeDocument/2006/relationships/hyperlink" Target="https://assets.publishing.service.gov.uk/government/uploads/system/uploads/attachment_data/file/951074/cycle-infrastructure-design-ltn-1-20.pdf" TargetMode="External"/><Relationship Id="rId25" Type="http://schemas.openxmlformats.org/officeDocument/2006/relationships/hyperlink" Target="https://www.susdrain.org/resources/ciria-guidance.html" TargetMode="External"/><Relationship Id="rId2" Type="http://schemas.openxmlformats.org/officeDocument/2006/relationships/hyperlink" Target="https://assets.publishing.service.gov.uk/government/uploads/system/uploads/attachment_data/file/1044542/inclusive-mobility-a-guide-to-best-practice-on-access-to-pedestrian-and-transport-infrastructure.pdf" TargetMode="External"/><Relationship Id="rId16" Type="http://schemas.openxmlformats.org/officeDocument/2006/relationships/hyperlink" Target="https://assets.publishing.service.gov.uk/government/uploads/system/uploads/attachment_data/file/951074/cycle-infrastructure-design-ltn-1-20.pdf" TargetMode="External"/><Relationship Id="rId20" Type="http://schemas.openxmlformats.org/officeDocument/2006/relationships/hyperlink" Target="file:///C:\Users\sian.peake-jones\AppData\Local\Microsoft\Windows\INetCache\Content.Outlook\SH2VNI0L\GM%20Active%20Travel%20Design%20Guide" TargetMode="External"/><Relationship Id="rId29"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51074/cycle-infrastructure-design-ltn-1-20.pdf" TargetMode="External"/><Relationship Id="rId6" Type="http://schemas.openxmlformats.org/officeDocument/2006/relationships/hyperlink" Target="https://www.rnib.org.uk/get-involved/support-a-campaign/inclusive-journeys/making-our-streets-inclusive-for-everyone/" TargetMode="External"/><Relationship Id="rId11" Type="http://schemas.openxmlformats.org/officeDocument/2006/relationships/hyperlink" Target="https://assets.publishing.service.gov.uk/government/uploads/system/uploads/attachment_data/file/1046126/guidance-on-the-use-of-tactile-paving-surfaces.pdf" TargetMode="External"/><Relationship Id="rId24" Type="http://schemas.openxmlformats.org/officeDocument/2006/relationships/hyperlink" Target="https://assets.publishing.service.gov.uk/government/uploads/system/uploads/attachment_data/file/951074/cycle-infrastructure-design-ltn-1-20.pdf" TargetMode="External"/><Relationship Id="rId32" Type="http://schemas.microsoft.com/office/2017/10/relationships/threadedComment" Target="../threadedComments/threadedComment3.xml"/><Relationship Id="rId5" Type="http://schemas.openxmlformats.org/officeDocument/2006/relationships/hyperlink" Target="https://www.google.com/url?sa=t&amp;rct=j&amp;q=&amp;esrc=s&amp;source=web&amp;cd=&amp;ved=2ahUKEwic3b3n2-76AhWRS8AKHfoGDd8QFnoECC8QAQ&amp;url=https%3A%2F%2Fwww.medway.gov.uk%2Fdownload%2Fdownloads%2Fid%2F6788%2F114_design_of_road_lighting_5489-1-2020.pdf&amp;usg=AOvVaw1yX9YTFfRz1W28NaZ3Vkj0" TargetMode="External"/><Relationship Id="rId15" Type="http://schemas.openxmlformats.org/officeDocument/2006/relationships/hyperlink" Target="https://assets.publishing.service.gov.uk/government/uploads/system/uploads/attachment_data/file/951074/cycle-infrastructure-design-ltn-1-20.pdf" TargetMode="External"/><Relationship Id="rId23" Type="http://schemas.openxmlformats.org/officeDocument/2006/relationships/hyperlink" Target="https://assets.publishing.service.gov.uk/government/uploads/system/uploads/attachment_data/file/951074/cycle-infrastructure-design-ltn-1-20.pdf" TargetMode="External"/><Relationship Id="rId28" Type="http://schemas.openxmlformats.org/officeDocument/2006/relationships/hyperlink" Target="https://www.sheffield.ac.uk/social-sciences/news/using-street-lighting-support-pedestrian-safety-night" TargetMode="External"/><Relationship Id="rId10" Type="http://schemas.openxmlformats.org/officeDocument/2006/relationships/hyperlink" Target="https://assets.publishing.service.gov.uk/government/uploads/system/uploads/attachment_data/file/851465/dft-traffic-signs-manual-chapter-6.pdf" TargetMode="External"/><Relationship Id="rId19" Type="http://schemas.openxmlformats.org/officeDocument/2006/relationships/hyperlink" Target="https://globaldesigningcities.org/publication/designing-streets-for-kids/" TargetMode="External"/><Relationship Id="rId31" Type="http://schemas.openxmlformats.org/officeDocument/2006/relationships/comments" Target="../comments3.xml"/><Relationship Id="rId4" Type="http://schemas.openxmlformats.org/officeDocument/2006/relationships/hyperlink" Target="https://anchorv3dev.s3.eu-west-2.amazonaws.com/documents-pdfs/within-media-section/ANCHOR%20PANEL%20REPORT%20-%20Why%20seating%20matters%20FINAL.pdf" TargetMode="External"/><Relationship Id="rId9" Type="http://schemas.openxmlformats.org/officeDocument/2006/relationships/hyperlink" Target="https://assets.publishing.service.gov.uk/government/uploads/system/uploads/attachment_data/file/1044542/inclusive-mobility-a-guide-to-best-practice-on-access-to-pedestrian-and-transport-infrastructure.pdf" TargetMode="External"/><Relationship Id="rId14" Type="http://schemas.openxmlformats.org/officeDocument/2006/relationships/hyperlink" Target="https://assets.publishing.service.gov.uk/government/uploads/system/uploads/attachment_data/file/951074/cycle-infrastructure-design-ltn-1-20.pdf" TargetMode="External"/><Relationship Id="rId22" Type="http://schemas.openxmlformats.org/officeDocument/2006/relationships/hyperlink" Target="http://www.urbanmovement.co.uk/uploads/1/4/1/9/14194615/bee_a_champion_2019_web.pdf" TargetMode="External"/><Relationship Id="rId27" Type="http://schemas.openxmlformats.org/officeDocument/2006/relationships/hyperlink" Target="https://www.gov.uk/government/publications/inclusive-mobility-making-transport-accessible-for-passengers-and-pedestrians" TargetMode="External"/><Relationship Id="rId30"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downloads.ctfassets.net/nv7y93idf4jq/H8pRWpuOm0MDiZmjirqtw/aa9ec3471ea3b557007c0bb2c2d9212e/Greater_Manchester_Streets_for_All_Design_Guide_v1.1.pdf" TargetMode="External"/><Relationship Id="rId2" Type="http://schemas.openxmlformats.org/officeDocument/2006/relationships/hyperlink" Target="mailto:gmstreetdesignguide@tfgm.com" TargetMode="External"/><Relationship Id="rId1" Type="http://schemas.openxmlformats.org/officeDocument/2006/relationships/hyperlink" Target="https://downloads.ctfassets.net/nv7y93idf4jq/H8pRWpuOm0MDiZmjirqtw/aa9ec3471ea3b557007c0bb2c2d9212e/Greater_Manchester_Streets_for_All_Design_Guide_v1.1.pdf"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ownloads.ctfassets.net/nv7y93idf4jq/H8pRWpuOm0MDiZmjirqtw/aa9ec3471ea3b557007c0bb2c2d9212e/Greater_Manchester_Streets_for_All_Design_Guide_v1.1.pdf" TargetMode="External"/><Relationship Id="rId13" Type="http://schemas.openxmlformats.org/officeDocument/2006/relationships/hyperlink" Target="https://downloads.ctfassets.net/nv7y93idf4jq/H8pRWpuOm0MDiZmjirqtw/aa9ec3471ea3b557007c0bb2c2d9212e/Greater_Manchester_Streets_for_All_Design_Guide_v1.1.pdf" TargetMode="External"/><Relationship Id="rId3" Type="http://schemas.openxmlformats.org/officeDocument/2006/relationships/hyperlink" Target="file:///C:\Users\norfieldc\AppData\Roaming\Microsoft\Excel\LTN%201\20%20guidance%20on%20shared%20use" TargetMode="External"/><Relationship Id="rId7" Type="http://schemas.openxmlformats.org/officeDocument/2006/relationships/hyperlink" Target="https://cleanairgm.com/data-hub/" TargetMode="External"/><Relationship Id="rId12" Type="http://schemas.openxmlformats.org/officeDocument/2006/relationships/hyperlink" Target="https://assets.publishing.service.gov.uk/media/61df0c91e90e07037794fe90/guidance-on-the-use-of-tactile-paving-surfaces.pdf" TargetMode="External"/><Relationship Id="rId2" Type="http://schemas.openxmlformats.org/officeDocument/2006/relationships/hyperlink" Target="https://assets.publishing.service.gov.uk/government/uploads/system/uploads/attachment_data/file/951074/cycle-infrastructure-design-ltn-1-20.pdf" TargetMode="External"/><Relationship Id="rId1" Type="http://schemas.openxmlformats.org/officeDocument/2006/relationships/hyperlink" Target="https://downloads.ctfassets.net/nv7y93idf4jq/H8pRWpuOm0MDiZmjirqtw/aa9ec3471ea3b557007c0bb2c2d9212e/Greater_Manchester_Streets_for_All_Design_Guide_v1.1.pdf" TargetMode="External"/><Relationship Id="rId6" Type="http://schemas.openxmlformats.org/officeDocument/2006/relationships/hyperlink" Target="https://downloads.ctfassets.net/nv7y93idf4jq/H8pRWpuOm0MDiZmjirqtw/aa9ec3471ea3b557007c0bb2c2d9212e/Greater_Manchester_Streets_for_All_Design_Guide_v1.1.pdf" TargetMode="External"/><Relationship Id="rId11" Type="http://schemas.openxmlformats.org/officeDocument/2006/relationships/hyperlink" Target="https://downloads.ctfassets.net/nv7y93idf4jq/H8pRWpuOm0MDiZmjirqtw/aa9ec3471ea3b557007c0bb2c2d9212e/Greater_Manchester_Streets_for_All_Design_Guide_v1.1.pdf" TargetMode="External"/><Relationship Id="rId5" Type="http://schemas.openxmlformats.org/officeDocument/2006/relationships/hyperlink" Target="https://downloads.ctfassets.net/nv7y93idf4jq/H8pRWpuOm0MDiZmjirqtw/aa9ec3471ea3b557007c0bb2c2d9212e/Greater_Manchester_Streets_for_All_Design_Guide_v1.1.pdf" TargetMode="External"/><Relationship Id="rId15" Type="http://schemas.openxmlformats.org/officeDocument/2006/relationships/printerSettings" Target="../printerSettings/printerSettings4.bin"/><Relationship Id="rId10" Type="http://schemas.openxmlformats.org/officeDocument/2006/relationships/hyperlink" Target="file:///C:\Users\norfieldc\AppData\Roaming\Microsoft\Excel\LTN%201\20%20guidance%20on%20shared%20use" TargetMode="External"/><Relationship Id="rId4" Type="http://schemas.openxmlformats.org/officeDocument/2006/relationships/hyperlink" Target="https://downloads.ctfassets.net/nv7y93idf4jq/H8pRWpuOm0MDiZmjirqtw/aa9ec3471ea3b557007c0bb2c2d9212e/Greater_Manchester_Streets_for_All_Design_Guide_v1.1.pdf" TargetMode="External"/><Relationship Id="rId9" Type="http://schemas.openxmlformats.org/officeDocument/2006/relationships/hyperlink" Target="https://downloads.ctfassets.net/nv7y93idf4jq/H8pRWpuOm0MDiZmjirqtw/aa9ec3471ea3b557007c0bb2c2d9212e/Greater_Manchester_Streets_for_All_Design_Guide_v1.1.pdf" TargetMode="External"/><Relationship Id="rId14" Type="http://schemas.openxmlformats.org/officeDocument/2006/relationships/hyperlink" Target="https://www.bsigroup.com/en-GB/insights-and-media/insights/brochures/pas-6463-design-for-the-mind-neurodiversity-and-the-built-environmen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truud.ac.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P26"/>
  <sheetViews>
    <sheetView tabSelected="1" zoomScaleNormal="100" workbookViewId="0">
      <selection activeCell="M18" sqref="M18:N19"/>
    </sheetView>
  </sheetViews>
  <sheetFormatPr defaultColWidth="0" defaultRowHeight="14.5" zeroHeight="1" x14ac:dyDescent="0.35"/>
  <cols>
    <col min="1" max="1" width="0.54296875" customWidth="1"/>
    <col min="2" max="2" width="1.81640625" customWidth="1"/>
    <col min="3" max="3" width="8.81640625" customWidth="1"/>
    <col min="4" max="4" width="10.54296875" customWidth="1"/>
    <col min="5" max="9" width="8.81640625" customWidth="1"/>
    <col min="10" max="10" width="5.54296875" customWidth="1"/>
    <col min="11" max="11" width="1.81640625" customWidth="1"/>
    <col min="12" max="12" width="0.54296875" customWidth="1"/>
    <col min="13" max="14" width="14" customWidth="1"/>
    <col min="15" max="15" width="0.54296875" customWidth="1"/>
    <col min="16" max="16" width="0.453125" style="2" customWidth="1"/>
    <col min="17" max="16384" width="8.81640625" hidden="1"/>
  </cols>
  <sheetData>
    <row r="1" spans="1:15" ht="3" customHeight="1" x14ac:dyDescent="0.35">
      <c r="A1" s="2"/>
      <c r="B1" s="2"/>
      <c r="C1" s="2"/>
      <c r="D1" s="2"/>
      <c r="E1" s="2"/>
      <c r="F1" s="2"/>
      <c r="G1" s="2"/>
      <c r="H1" s="2"/>
      <c r="I1" s="2"/>
      <c r="J1" s="2"/>
      <c r="K1" s="2"/>
      <c r="L1" s="2"/>
      <c r="M1" s="2"/>
      <c r="N1" s="2"/>
      <c r="O1" s="2"/>
    </row>
    <row r="2" spans="1:15" ht="9" customHeight="1" x14ac:dyDescent="0.35">
      <c r="A2" s="2"/>
      <c r="B2" s="247"/>
      <c r="C2" s="248"/>
      <c r="D2" s="248"/>
      <c r="E2" s="248"/>
      <c r="F2" s="248"/>
      <c r="G2" s="248"/>
      <c r="H2" s="248"/>
      <c r="I2" s="248"/>
      <c r="J2" s="248"/>
      <c r="K2" s="248"/>
      <c r="L2" s="247"/>
      <c r="M2" s="248"/>
      <c r="N2" s="248"/>
      <c r="O2" s="249"/>
    </row>
    <row r="3" spans="1:15" ht="11.5" customHeight="1" x14ac:dyDescent="0.35">
      <c r="A3" s="2"/>
      <c r="B3" s="250"/>
      <c r="C3" s="232"/>
      <c r="D3" s="232"/>
      <c r="E3" s="232"/>
      <c r="F3" s="232"/>
      <c r="G3" s="232"/>
      <c r="H3" s="232"/>
      <c r="I3" s="232"/>
      <c r="J3" s="232"/>
      <c r="K3" s="232"/>
      <c r="L3" s="250"/>
      <c r="M3" s="232"/>
      <c r="N3" s="232"/>
      <c r="O3" s="251"/>
    </row>
    <row r="4" spans="1:15" ht="11.5" customHeight="1" x14ac:dyDescent="0.35">
      <c r="A4" s="2"/>
      <c r="B4" s="250"/>
      <c r="C4" s="232"/>
      <c r="D4" s="232"/>
      <c r="E4" s="232"/>
      <c r="F4" s="232"/>
      <c r="G4" s="232"/>
      <c r="H4" s="232"/>
      <c r="I4" s="232"/>
      <c r="J4" s="232"/>
      <c r="K4" s="232"/>
      <c r="L4" s="250"/>
      <c r="M4" s="467" t="s">
        <v>922</v>
      </c>
      <c r="N4" s="467"/>
      <c r="O4" s="251"/>
    </row>
    <row r="5" spans="1:15" ht="11.5" customHeight="1" x14ac:dyDescent="0.35">
      <c r="A5" s="2"/>
      <c r="B5" s="250"/>
      <c r="C5" s="232"/>
      <c r="D5" s="232"/>
      <c r="E5" s="232"/>
      <c r="F5" s="232"/>
      <c r="G5" s="232"/>
      <c r="H5" s="232"/>
      <c r="I5" s="232"/>
      <c r="J5" s="232"/>
      <c r="K5" s="232"/>
      <c r="L5" s="250"/>
      <c r="M5" s="467"/>
      <c r="N5" s="467"/>
      <c r="O5" s="251"/>
    </row>
    <row r="6" spans="1:15" ht="11.5" customHeight="1" x14ac:dyDescent="0.35">
      <c r="A6" s="2"/>
      <c r="B6" s="250"/>
      <c r="C6" s="232"/>
      <c r="D6" s="232"/>
      <c r="E6" s="232"/>
      <c r="F6" s="232"/>
      <c r="G6" s="232"/>
      <c r="H6" s="232"/>
      <c r="I6" s="232"/>
      <c r="J6" s="232"/>
      <c r="K6" s="232"/>
      <c r="L6" s="250"/>
      <c r="M6" s="467"/>
      <c r="N6" s="467"/>
      <c r="O6" s="251"/>
    </row>
    <row r="7" spans="1:15" ht="11.5" customHeight="1" x14ac:dyDescent="0.35">
      <c r="A7" s="2"/>
      <c r="B7" s="250"/>
      <c r="C7" s="232"/>
      <c r="D7" s="232"/>
      <c r="E7" s="232"/>
      <c r="F7" s="232"/>
      <c r="G7" s="232"/>
      <c r="H7" s="232"/>
      <c r="I7" s="232"/>
      <c r="J7" s="232"/>
      <c r="K7" s="232"/>
      <c r="L7" s="250"/>
      <c r="M7" s="467"/>
      <c r="N7" s="467"/>
      <c r="O7" s="251"/>
    </row>
    <row r="8" spans="1:15" ht="11.5" customHeight="1" x14ac:dyDescent="0.35">
      <c r="A8" s="2"/>
      <c r="B8" s="250"/>
      <c r="C8" s="232"/>
      <c r="D8" s="232"/>
      <c r="E8" s="232"/>
      <c r="F8" s="232"/>
      <c r="G8" s="232"/>
      <c r="H8" s="232"/>
      <c r="I8" s="232"/>
      <c r="J8" s="232"/>
      <c r="K8" s="232"/>
      <c r="L8" s="250"/>
      <c r="M8" s="232"/>
      <c r="N8" s="232"/>
      <c r="O8" s="251"/>
    </row>
    <row r="9" spans="1:15" ht="11.5" customHeight="1" x14ac:dyDescent="0.35">
      <c r="A9" s="2"/>
      <c r="B9" s="250"/>
      <c r="C9" s="232"/>
      <c r="D9" s="232"/>
      <c r="E9" s="232"/>
      <c r="F9" s="232"/>
      <c r="G9" s="232"/>
      <c r="H9" s="232"/>
      <c r="I9" s="232"/>
      <c r="J9" s="232"/>
      <c r="K9" s="232"/>
      <c r="L9" s="250"/>
      <c r="M9" s="232"/>
      <c r="N9" s="232"/>
      <c r="O9" s="251"/>
    </row>
    <row r="10" spans="1:15" ht="11.5" customHeight="1" x14ac:dyDescent="0.35">
      <c r="A10" s="2"/>
      <c r="B10" s="250"/>
      <c r="C10" s="232"/>
      <c r="D10" s="232"/>
      <c r="E10" s="232"/>
      <c r="F10" s="232"/>
      <c r="G10" s="232"/>
      <c r="H10" s="232"/>
      <c r="I10" s="232"/>
      <c r="J10" s="232"/>
      <c r="K10" s="232"/>
      <c r="L10" s="250"/>
      <c r="M10" s="232"/>
      <c r="N10" s="232"/>
      <c r="O10" s="251"/>
    </row>
    <row r="11" spans="1:15" ht="11.5" customHeight="1" x14ac:dyDescent="0.35">
      <c r="A11" s="2"/>
      <c r="B11" s="250"/>
      <c r="C11" s="232"/>
      <c r="D11" s="232"/>
      <c r="E11" s="232"/>
      <c r="F11" s="232"/>
      <c r="G11" s="232"/>
      <c r="H11" s="232"/>
      <c r="I11" s="232"/>
      <c r="J11" s="232"/>
      <c r="K11" s="232"/>
      <c r="L11" s="250"/>
      <c r="M11" s="2"/>
      <c r="N11" s="232"/>
      <c r="O11" s="251"/>
    </row>
    <row r="12" spans="1:15" ht="11.5" customHeight="1" x14ac:dyDescent="0.35">
      <c r="A12" s="2"/>
      <c r="B12" s="250"/>
      <c r="C12" s="232"/>
      <c r="D12" s="232"/>
      <c r="E12" s="232"/>
      <c r="F12" s="232"/>
      <c r="G12" s="232"/>
      <c r="H12" s="232"/>
      <c r="I12" s="232"/>
      <c r="J12" s="232"/>
      <c r="K12" s="232"/>
      <c r="L12" s="250"/>
      <c r="M12" s="232"/>
      <c r="N12" s="2"/>
      <c r="O12" s="251"/>
    </row>
    <row r="13" spans="1:15" ht="11.5" customHeight="1" x14ac:dyDescent="0.35">
      <c r="A13" s="2"/>
      <c r="B13" s="250"/>
      <c r="C13" s="232"/>
      <c r="D13" s="232"/>
      <c r="E13" s="232"/>
      <c r="F13" s="232"/>
      <c r="G13" s="232"/>
      <c r="H13" s="232"/>
      <c r="I13" s="232"/>
      <c r="J13" s="232"/>
      <c r="K13" s="232"/>
      <c r="L13" s="250"/>
      <c r="M13" s="232"/>
      <c r="N13" s="232"/>
      <c r="O13" s="251"/>
    </row>
    <row r="14" spans="1:15" ht="11.5" customHeight="1" x14ac:dyDescent="0.35">
      <c r="A14" s="2"/>
      <c r="B14" s="250"/>
      <c r="C14" s="232"/>
      <c r="D14" s="232"/>
      <c r="E14" s="232"/>
      <c r="F14" s="232"/>
      <c r="G14" s="232"/>
      <c r="H14" s="232"/>
      <c r="I14" s="232"/>
      <c r="J14" s="232"/>
      <c r="K14" s="232"/>
      <c r="L14" s="250"/>
      <c r="M14" s="232"/>
      <c r="N14" s="232"/>
      <c r="O14" s="251"/>
    </row>
    <row r="15" spans="1:15" ht="11.5" customHeight="1" x14ac:dyDescent="0.35">
      <c r="A15" s="2"/>
      <c r="B15" s="250"/>
      <c r="C15" s="232"/>
      <c r="D15" s="232"/>
      <c r="E15" s="232"/>
      <c r="F15" s="232"/>
      <c r="G15" s="232"/>
      <c r="H15" s="232"/>
      <c r="I15" s="232"/>
      <c r="J15" s="232"/>
      <c r="K15" s="232"/>
      <c r="L15" s="250"/>
      <c r="M15" s="232"/>
      <c r="N15" s="232"/>
      <c r="O15" s="251"/>
    </row>
    <row r="16" spans="1:15" ht="11.5" customHeight="1" x14ac:dyDescent="0.35">
      <c r="A16" s="2"/>
      <c r="B16" s="250"/>
      <c r="C16" s="232"/>
      <c r="D16" s="232"/>
      <c r="E16" s="232"/>
      <c r="F16" s="232"/>
      <c r="G16" s="232"/>
      <c r="H16" s="232"/>
      <c r="I16" s="232"/>
      <c r="J16" s="232"/>
      <c r="K16" s="232"/>
      <c r="L16" s="252"/>
      <c r="M16" s="253"/>
      <c r="N16" s="253"/>
      <c r="O16" s="254"/>
    </row>
    <row r="17" spans="1:15" ht="11.5" customHeight="1" x14ac:dyDescent="0.35">
      <c r="A17" s="2"/>
      <c r="B17" s="250"/>
      <c r="C17" s="232"/>
      <c r="D17" s="232"/>
      <c r="E17" s="232"/>
      <c r="F17" s="232"/>
      <c r="G17" s="232"/>
      <c r="H17" s="232"/>
      <c r="I17" s="232"/>
      <c r="J17" s="232"/>
      <c r="K17" s="232"/>
      <c r="L17" s="11"/>
      <c r="M17" s="330" t="s">
        <v>1295</v>
      </c>
      <c r="N17" s="2"/>
      <c r="O17" s="12"/>
    </row>
    <row r="18" spans="1:15" ht="11.5" customHeight="1" x14ac:dyDescent="0.35">
      <c r="A18" s="2"/>
      <c r="B18" s="250"/>
      <c r="C18" s="232"/>
      <c r="D18" s="232"/>
      <c r="E18" s="232"/>
      <c r="F18" s="232"/>
      <c r="G18" s="232"/>
      <c r="H18" s="232"/>
      <c r="I18" s="232"/>
      <c r="J18" s="232"/>
      <c r="K18" s="232"/>
      <c r="L18" s="11"/>
      <c r="M18" s="459" t="s">
        <v>491</v>
      </c>
      <c r="N18" s="460"/>
      <c r="O18" s="12"/>
    </row>
    <row r="19" spans="1:15" ht="11.5" customHeight="1" x14ac:dyDescent="0.35">
      <c r="A19" s="2"/>
      <c r="B19" s="250"/>
      <c r="C19" s="232"/>
      <c r="D19" s="232"/>
      <c r="E19" s="232"/>
      <c r="F19" s="232"/>
      <c r="G19" s="232"/>
      <c r="H19" s="232"/>
      <c r="I19" s="232"/>
      <c r="J19" s="232"/>
      <c r="K19" s="232"/>
      <c r="L19" s="11"/>
      <c r="M19" s="461"/>
      <c r="N19" s="462"/>
      <c r="O19" s="12"/>
    </row>
    <row r="20" spans="1:15" ht="11.5" customHeight="1" x14ac:dyDescent="0.35">
      <c r="A20" s="2"/>
      <c r="B20" s="250"/>
      <c r="C20" s="232"/>
      <c r="D20" s="232"/>
      <c r="E20" s="232"/>
      <c r="F20" s="232"/>
      <c r="G20" s="232"/>
      <c r="H20" s="232"/>
      <c r="I20" s="232"/>
      <c r="J20" s="232"/>
      <c r="K20" s="232"/>
      <c r="L20" s="11"/>
      <c r="M20" s="2"/>
      <c r="N20" s="2"/>
      <c r="O20" s="12"/>
    </row>
    <row r="21" spans="1:15" ht="11.5" customHeight="1" x14ac:dyDescent="0.35">
      <c r="A21" s="2"/>
      <c r="B21" s="250"/>
      <c r="C21" s="698" t="s">
        <v>1292</v>
      </c>
      <c r="D21" s="699" t="s">
        <v>1293</v>
      </c>
      <c r="E21" s="700" t="s">
        <v>1294</v>
      </c>
      <c r="F21" s="701"/>
      <c r="G21" s="701"/>
      <c r="H21" s="701"/>
      <c r="I21" s="701"/>
      <c r="J21" s="702"/>
      <c r="K21" s="232"/>
      <c r="L21" s="11"/>
      <c r="M21" s="463" t="s">
        <v>0</v>
      </c>
      <c r="N21" s="464"/>
      <c r="O21" s="12"/>
    </row>
    <row r="22" spans="1:15" ht="11.5" customHeight="1" x14ac:dyDescent="0.35">
      <c r="A22" s="2"/>
      <c r="B22" s="250"/>
      <c r="C22" s="691">
        <v>2.1</v>
      </c>
      <c r="D22" s="692">
        <v>45393</v>
      </c>
      <c r="E22" s="694" t="s">
        <v>1296</v>
      </c>
      <c r="F22" s="695"/>
      <c r="G22" s="695"/>
      <c r="H22" s="695"/>
      <c r="I22" s="695"/>
      <c r="J22" s="696"/>
      <c r="K22" s="232"/>
      <c r="L22" s="11"/>
      <c r="M22" s="465"/>
      <c r="N22" s="466"/>
      <c r="O22" s="12"/>
    </row>
    <row r="23" spans="1:15" ht="131.5" customHeight="1" x14ac:dyDescent="0.35">
      <c r="A23" s="2"/>
      <c r="B23" s="250"/>
      <c r="C23" s="691">
        <v>2.2000000000000002</v>
      </c>
      <c r="D23" s="692">
        <v>45433</v>
      </c>
      <c r="E23" s="697" t="s">
        <v>1297</v>
      </c>
      <c r="F23" s="693"/>
      <c r="G23" s="693"/>
      <c r="H23" s="693"/>
      <c r="I23" s="693"/>
      <c r="J23" s="693"/>
      <c r="K23" s="232"/>
      <c r="L23" s="11"/>
      <c r="M23" s="2"/>
      <c r="N23" s="2"/>
      <c r="O23" s="12"/>
    </row>
    <row r="24" spans="1:15" ht="11.5" customHeight="1" x14ac:dyDescent="0.35">
      <c r="A24" s="2"/>
      <c r="B24" s="250"/>
      <c r="C24" s="232"/>
      <c r="D24" s="232"/>
      <c r="E24" s="690"/>
      <c r="F24" s="232"/>
      <c r="G24" s="232"/>
      <c r="H24" s="232"/>
      <c r="I24" s="232"/>
      <c r="J24" s="232"/>
      <c r="K24" s="232"/>
      <c r="L24" s="456"/>
      <c r="M24" s="457"/>
      <c r="N24" s="457"/>
      <c r="O24" s="458"/>
    </row>
    <row r="25" spans="1:15" ht="13" customHeight="1" x14ac:dyDescent="0.35">
      <c r="A25" s="2"/>
      <c r="B25" s="252"/>
      <c r="C25" s="253"/>
      <c r="D25" s="253"/>
      <c r="E25" s="253"/>
      <c r="F25" s="253"/>
      <c r="G25" s="253"/>
      <c r="H25" s="253"/>
      <c r="I25" s="253"/>
      <c r="J25" s="253"/>
      <c r="K25" s="253"/>
      <c r="L25" s="13"/>
      <c r="M25" s="14"/>
      <c r="N25" s="14"/>
      <c r="O25" s="15"/>
    </row>
    <row r="26" spans="1:15" ht="3" customHeight="1" x14ac:dyDescent="0.35">
      <c r="A26" s="2"/>
      <c r="B26" s="2"/>
      <c r="C26" s="2"/>
      <c r="D26" s="2"/>
      <c r="E26" s="689"/>
      <c r="F26" s="2"/>
      <c r="G26" s="2"/>
      <c r="H26" s="2"/>
      <c r="I26" s="2"/>
      <c r="J26" s="2"/>
      <c r="K26" s="2"/>
      <c r="L26" s="2"/>
      <c r="M26" s="2"/>
      <c r="N26" s="2"/>
      <c r="O26" s="2"/>
    </row>
  </sheetData>
  <sheetProtection algorithmName="SHA-512" hashValue="iD207oHlNq5/n5s8D1aaaIJYgMmaXsE4Y3MrLeVof9Lhu+HIhID7qhSD1od2O/s44SlwAYJ0eDNosGeoF+5GtA==" saltValue="wbggxP+PylUENEAjUjVuRg==" spinCount="100000" sheet="1" objects="1" selectLockedCells="1"/>
  <mergeCells count="7">
    <mergeCell ref="L24:O24"/>
    <mergeCell ref="M18:N19"/>
    <mergeCell ref="M21:N22"/>
    <mergeCell ref="M4:N7"/>
    <mergeCell ref="E23:J23"/>
    <mergeCell ref="E22:J22"/>
    <mergeCell ref="E21:J21"/>
  </mergeCells>
  <hyperlinks>
    <hyperlink ref="M21:N22" location="Project!A1" display="Get started" xr:uid="{9147F49C-6D62-4C2D-AE51-6F059FB0D140}"/>
    <hyperlink ref="M18:N19" location="About!A1" display="About the check" xr:uid="{87447D86-3F3B-4D87-ABB3-96F944101D5B}"/>
  </hyperlinks>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5AE1-8A3F-4DD3-BF96-808BFC575D99}">
  <sheetPr>
    <tabColor rgb="FFFF7D7D"/>
    <pageSetUpPr autoPageBreaks="0"/>
  </sheetPr>
  <dimension ref="A1:U62"/>
  <sheetViews>
    <sheetView workbookViewId="0"/>
  </sheetViews>
  <sheetFormatPr defaultColWidth="0" defaultRowHeight="14.5" customHeight="1" zeroHeight="1" x14ac:dyDescent="0.35"/>
  <cols>
    <col min="1" max="2" width="1.453125" style="2"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B3" s="95"/>
      <c r="C3" s="226" t="s">
        <v>794</v>
      </c>
      <c r="D3" s="96"/>
      <c r="E3" s="96"/>
      <c r="F3" s="96"/>
      <c r="G3" s="96"/>
      <c r="H3" s="96"/>
      <c r="I3" s="96"/>
      <c r="J3" s="96"/>
      <c r="K3" s="96"/>
      <c r="L3" s="96"/>
      <c r="M3" s="96"/>
      <c r="N3" s="96"/>
      <c r="O3" s="96"/>
      <c r="P3" s="96"/>
      <c r="Q3" s="96"/>
      <c r="R3" s="96"/>
      <c r="S3" s="97"/>
      <c r="T3" s="98"/>
    </row>
    <row r="4" spans="2:20" ht="8.5" customHeight="1" x14ac:dyDescent="0.35">
      <c r="B4" s="95"/>
      <c r="T4" s="98"/>
    </row>
    <row r="5" spans="2:20" ht="17.5" customHeight="1" x14ac:dyDescent="0.35">
      <c r="B5" s="95"/>
      <c r="C5" s="564" t="s">
        <v>793</v>
      </c>
      <c r="D5" s="99"/>
      <c r="E5" s="568" t="s">
        <v>290</v>
      </c>
      <c r="F5" s="575"/>
      <c r="G5" s="575"/>
      <c r="H5" s="569"/>
      <c r="I5" s="570" t="s">
        <v>291</v>
      </c>
      <c r="J5" s="572"/>
      <c r="K5" s="572"/>
      <c r="L5" s="572"/>
      <c r="M5" s="571"/>
      <c r="O5" s="564" t="s">
        <v>292</v>
      </c>
      <c r="P5" s="568" t="s">
        <v>290</v>
      </c>
      <c r="Q5" s="569"/>
      <c r="R5" s="570" t="s">
        <v>291</v>
      </c>
      <c r="S5" s="571"/>
      <c r="T5" s="98"/>
    </row>
    <row r="6" spans="2:20" ht="17.5" customHeight="1" x14ac:dyDescent="0.35">
      <c r="B6" s="95"/>
      <c r="C6" s="565" t="s">
        <v>293</v>
      </c>
      <c r="D6" s="100"/>
      <c r="E6" s="596" t="s">
        <v>294</v>
      </c>
      <c r="F6" s="597"/>
      <c r="G6" s="555" t="s">
        <v>295</v>
      </c>
      <c r="H6" s="556"/>
      <c r="I6" s="573" t="s">
        <v>294</v>
      </c>
      <c r="J6" s="574"/>
      <c r="K6" s="570" t="s">
        <v>295</v>
      </c>
      <c r="L6" s="572"/>
      <c r="M6" s="571"/>
      <c r="O6" s="565"/>
      <c r="P6" s="101" t="s">
        <v>294</v>
      </c>
      <c r="Q6" s="101" t="s">
        <v>295</v>
      </c>
      <c r="R6" s="102" t="s">
        <v>294</v>
      </c>
      <c r="S6" s="102" t="s">
        <v>295</v>
      </c>
      <c r="T6" s="98"/>
    </row>
    <row r="7" spans="2:20" ht="17" x14ac:dyDescent="0.4">
      <c r="B7" s="95"/>
      <c r="C7" s="348" t="s">
        <v>717</v>
      </c>
      <c r="D7" s="103" t="s">
        <v>297</v>
      </c>
      <c r="E7" s="550" t="e">
        <f>'Scoring (health)'!$AQ$89&amp;"/"&amp;'Scoring (health)'!$AS$89</f>
        <v>#N/A</v>
      </c>
      <c r="F7" s="551"/>
      <c r="G7" s="555" t="str">
        <f>IFERROR('Scoring (health)'!$AQ$89/'Scoring (health)'!$AS$89,"N/A")</f>
        <v>N/A</v>
      </c>
      <c r="H7" s="556"/>
      <c r="I7" s="550" t="e">
        <f>'Scoring (health)'!$AR$89&amp;"/"&amp;'Scoring (health)'!$AS$89</f>
        <v>#N/A</v>
      </c>
      <c r="J7" s="551"/>
      <c r="K7" s="555" t="str">
        <f>IFERROR('Scoring (health)'!$AR$89/'Scoring (health)'!$AS$89,"N/A")</f>
        <v>N/A</v>
      </c>
      <c r="L7" s="560"/>
      <c r="M7" s="556"/>
      <c r="O7" s="104" t="s">
        <v>298</v>
      </c>
      <c r="P7" s="105" t="e">
        <f>SUM('Scoring (health)'!U89,'Scoring (health)'!X89,'Scoring (health)'!AA89,'Scoring (health)'!AD89,'Scoring (health)'!AG89,'Scoring (health)'!AJ89,'Scoring (health)'!AM89)&amp;"/"&amp;SUM('Scoring (health)'!W89,'Scoring (health)'!Z89,'Scoring (health)'!AC89,'Scoring (health)'!AF89,'Scoring (health)'!AI89,'Scoring (health)'!AL89,'Scoring (health)'!AO89)</f>
        <v>#N/A</v>
      </c>
      <c r="Q7" s="106" t="e">
        <f>SUM('Scoring (health)'!U89,'Scoring (health)'!X89,'Scoring (health)'!AA89,'Scoring (health)'!AD89,'Scoring (health)'!AG89,'Scoring (health)'!AJ89,'Scoring (health)'!AM89)/SUM('Scoring (health)'!W89,'Scoring (health)'!Z89,'Scoring (health)'!AC89,'Scoring (health)'!AF89,'Scoring (health)'!AI89,'Scoring (health)'!AL89,'Scoring (health)'!AO89)</f>
        <v>#N/A</v>
      </c>
      <c r="R7" s="105" t="e">
        <f>SUM('Scoring (health)'!V89,'Scoring (health)'!Y89,'Scoring (health)'!AB89,'Scoring (health)'!AE89,'Scoring (health)'!AH89,'Scoring (health)'!AK89,'Scoring (health)'!AN89)&amp;"/"&amp;SUM('Scoring (health)'!W89,'Scoring (health)'!Z89,'Scoring (health)'!AC89,'Scoring (health)'!AF89,'Scoring (health)'!AI89,'Scoring (health)'!AL89,'Scoring (health)'!AO89)</f>
        <v>#N/A</v>
      </c>
      <c r="S7" s="106" t="e">
        <f>SUM('Scoring (health)'!V89,'Scoring (health)'!Y89,'Scoring (health)'!AB89,'Scoring (health)'!AE89,'Scoring (health)'!AH89,'Scoring (health)'!AK89,'Scoring (health)'!AN89)/SUM('Scoring (health)'!W89,'Scoring (health)'!Z89,'Scoring (health)'!AC89,'Scoring (health)'!AF89,'Scoring (health)'!AI89,'Scoring (health)'!AL89,'Scoring (health)'!AO89)</f>
        <v>#N/A</v>
      </c>
      <c r="T7" s="98"/>
    </row>
    <row r="8" spans="2:20" ht="17" x14ac:dyDescent="0.4">
      <c r="B8" s="95"/>
      <c r="C8" s="348" t="s">
        <v>674</v>
      </c>
      <c r="D8" s="103" t="s">
        <v>300</v>
      </c>
      <c r="E8" s="550" t="e">
        <f>'Scoring (health)'!$AT$89&amp;"/"&amp;'Scoring (health)'!$AV$89</f>
        <v>#N/A</v>
      </c>
      <c r="F8" s="551"/>
      <c r="G8" s="555" t="str">
        <f>IFERROR('Scoring (health)'!$AT$89/'Scoring (health)'!$AV$89,"N/A")</f>
        <v>N/A</v>
      </c>
      <c r="H8" s="556"/>
      <c r="I8" s="550" t="e">
        <f>'Scoring (health)'!$AU$89&amp;"/"&amp;'Scoring (health)'!$AV$89</f>
        <v>#N/A</v>
      </c>
      <c r="J8" s="551"/>
      <c r="K8" s="555" t="str">
        <f>IFERROR('Scoring (health)'!$AU$89/'Scoring (health)'!$AV$89,"N/A")</f>
        <v>N/A</v>
      </c>
      <c r="L8" s="560"/>
      <c r="M8" s="556"/>
      <c r="O8" s="104" t="s">
        <v>451</v>
      </c>
      <c r="P8" s="566">
        <f>COUNTIFS('Scoring (health)'!$BT:$BT,"Amber",'Scoring (health)'!$BV:$BV,0)</f>
        <v>8</v>
      </c>
      <c r="Q8" s="567"/>
      <c r="R8" s="566">
        <f>COUNTIFS('Scoring (health)'!$BT:$BT,"Amber",'Scoring (health)'!$BW:$BW,0)</f>
        <v>8</v>
      </c>
      <c r="S8" s="567"/>
      <c r="T8" s="98"/>
    </row>
    <row r="9" spans="2:20" ht="17" x14ac:dyDescent="0.4">
      <c r="B9" s="95"/>
      <c r="C9" s="348" t="s">
        <v>800</v>
      </c>
      <c r="D9" s="103" t="s">
        <v>302</v>
      </c>
      <c r="E9" s="550" t="e">
        <f>'Scoring (health)'!$AW$89&amp;"/"&amp;'Scoring (health)'!$AY$89</f>
        <v>#N/A</v>
      </c>
      <c r="F9" s="551"/>
      <c r="G9" s="555" t="str">
        <f>IFERROR('Scoring (health)'!$AW$89/'Scoring (health)'!$AY$89,"N/A")</f>
        <v>N/A</v>
      </c>
      <c r="H9" s="556"/>
      <c r="I9" s="550" t="e">
        <f>'Scoring (health)'!$AX$89&amp;"/"&amp;'Scoring (health)'!$AY$89</f>
        <v>#N/A</v>
      </c>
      <c r="J9" s="551"/>
      <c r="K9" s="555" t="str">
        <f>IFERROR('Scoring (health)'!$AX$89/'Scoring (health)'!$AY$89,"N/A")</f>
        <v>N/A</v>
      </c>
      <c r="L9" s="560"/>
      <c r="M9" s="556"/>
      <c r="O9" s="104" t="s">
        <v>571</v>
      </c>
      <c r="P9" s="566">
        <f>COUNTIF('Scoring (health)'!$BV:$BV,"A")</f>
        <v>0</v>
      </c>
      <c r="Q9" s="567"/>
      <c r="R9" s="566">
        <f>COUNTIF('Scoring (health)'!$BW:$BW,"A")</f>
        <v>0</v>
      </c>
      <c r="S9" s="567"/>
      <c r="T9" s="98"/>
    </row>
    <row r="10" spans="2:20" ht="17" x14ac:dyDescent="0.4">
      <c r="B10" s="95"/>
      <c r="C10" s="348" t="s">
        <v>608</v>
      </c>
      <c r="D10" s="103" t="s">
        <v>304</v>
      </c>
      <c r="E10" s="550" t="e">
        <f>'Scoring (health)'!$AZ$89&amp;"/"&amp;'Scoring (health)'!$BB$89</f>
        <v>#N/A</v>
      </c>
      <c r="F10" s="551"/>
      <c r="G10" s="555" t="str">
        <f>IFERROR('Scoring (health)'!$AZ$89/'Scoring (health)'!$BB$89,"N/A")</f>
        <v>N/A</v>
      </c>
      <c r="H10" s="556"/>
      <c r="I10" s="550" t="e">
        <f>'Scoring (health)'!$BA$89&amp;"/"&amp;'Scoring (health)'!$BB$89</f>
        <v>#N/A</v>
      </c>
      <c r="J10" s="551"/>
      <c r="K10" s="555" t="str">
        <f>IFERROR('Scoring (health)'!$BA$89/'Scoring (health)'!$BB$89,"N/A")</f>
        <v>N/A</v>
      </c>
      <c r="L10" s="560"/>
      <c r="M10" s="556"/>
      <c r="T10" s="98"/>
    </row>
    <row r="11" spans="2:20" ht="17" x14ac:dyDescent="0.4">
      <c r="B11" s="95"/>
      <c r="C11" s="348" t="s">
        <v>729</v>
      </c>
      <c r="D11" s="103" t="s">
        <v>306</v>
      </c>
      <c r="E11" s="550" t="e">
        <f>'Scoring (health)'!$BC$89&amp;"/"&amp;'Scoring (health)'!$BE$89</f>
        <v>#N/A</v>
      </c>
      <c r="F11" s="551"/>
      <c r="G11" s="555" t="str">
        <f>IFERROR('Scoring (health)'!$BC$89/'Scoring (health)'!$BE$89,"N/A")</f>
        <v>N/A</v>
      </c>
      <c r="H11" s="556"/>
      <c r="I11" s="550" t="e">
        <f>'Scoring (health)'!$BD$89&amp;"/"&amp;'Scoring (health)'!$BE$89</f>
        <v>#N/A</v>
      </c>
      <c r="J11" s="551"/>
      <c r="K11" s="555" t="str">
        <f>IFERROR('Scoring (health)'!$BD$89/'Scoring (health)'!$BE$89,"N/A")</f>
        <v>N/A</v>
      </c>
      <c r="L11" s="560"/>
      <c r="M11" s="556"/>
      <c r="T11" s="98"/>
    </row>
    <row r="12" spans="2:20" ht="17" x14ac:dyDescent="0.4">
      <c r="B12" s="95"/>
      <c r="C12" s="348" t="s">
        <v>792</v>
      </c>
      <c r="D12" s="103" t="s">
        <v>308</v>
      </c>
      <c r="E12" s="550" t="e">
        <f>'Scoring (health)'!$BF$89&amp;"/"&amp;'Scoring (health)'!$BH$89</f>
        <v>#N/A</v>
      </c>
      <c r="F12" s="551"/>
      <c r="G12" s="555" t="str">
        <f>IFERROR('Scoring (health)'!$BF$89/'Scoring (health)'!$BH$89,"N/A")</f>
        <v>N/A</v>
      </c>
      <c r="H12" s="556"/>
      <c r="I12" s="550" t="e">
        <f>'Scoring (health)'!$BG$89&amp;"/"&amp;'Scoring (health)'!$BH$89</f>
        <v>#N/A</v>
      </c>
      <c r="J12" s="551"/>
      <c r="K12" s="555" t="str">
        <f>IFERROR('Scoring (health)'!$BG$89/'Scoring (health)'!BH$89,"N/A")</f>
        <v>N/A</v>
      </c>
      <c r="L12" s="560"/>
      <c r="M12" s="556"/>
      <c r="T12" s="98"/>
    </row>
    <row r="13" spans="2:20" ht="17" x14ac:dyDescent="0.4">
      <c r="B13" s="95"/>
      <c r="C13" s="348" t="s">
        <v>730</v>
      </c>
      <c r="D13" s="103" t="s">
        <v>310</v>
      </c>
      <c r="E13" s="550" t="e">
        <f>'Scoring (health)'!$BI$89&amp;"/"&amp;'Scoring (health)'!$BK$89</f>
        <v>#N/A</v>
      </c>
      <c r="F13" s="551"/>
      <c r="G13" s="555" t="str">
        <f>IFERROR('Scoring (health)'!$BI$89/'Scoring (health)'!$BK$89,"N/A")</f>
        <v>N/A</v>
      </c>
      <c r="H13" s="556"/>
      <c r="I13" s="550" t="e">
        <f>'Scoring (health)'!$BJ$89&amp;"/"&amp;'Scoring (health)'!$BK$89</f>
        <v>#N/A</v>
      </c>
      <c r="J13" s="551"/>
      <c r="K13" s="555" t="str">
        <f>IFERROR('Scoring (health)'!$BJ$89/'Scoring (health)'!$BK$89,"N/A")</f>
        <v>N/A</v>
      </c>
      <c r="L13" s="560"/>
      <c r="M13" s="556"/>
      <c r="N13" s="107"/>
      <c r="T13" s="98"/>
    </row>
    <row r="14" spans="2:20" x14ac:dyDescent="0.35">
      <c r="B14" s="95"/>
      <c r="T14" s="98"/>
    </row>
    <row r="15" spans="2:20" ht="17.5" customHeight="1" x14ac:dyDescent="0.35">
      <c r="B15" s="95"/>
      <c r="C15" s="564" t="s">
        <v>311</v>
      </c>
      <c r="D15" s="99"/>
      <c r="E15" s="602" t="s">
        <v>312</v>
      </c>
      <c r="F15" s="588" t="s">
        <v>313</v>
      </c>
      <c r="G15" s="590"/>
      <c r="H15" s="590"/>
      <c r="I15" s="590"/>
      <c r="J15" s="589"/>
      <c r="K15" s="593" t="s">
        <v>294</v>
      </c>
      <c r="L15" s="535"/>
      <c r="M15" s="602" t="s">
        <v>295</v>
      </c>
      <c r="N15" s="108"/>
      <c r="T15" s="98"/>
    </row>
    <row r="16" spans="2:20" ht="17" x14ac:dyDescent="0.35">
      <c r="B16" s="95"/>
      <c r="C16" s="565"/>
      <c r="D16" s="100"/>
      <c r="E16" s="603"/>
      <c r="F16" s="109" t="s">
        <v>543</v>
      </c>
      <c r="G16" s="109" t="s">
        <v>314</v>
      </c>
      <c r="H16" s="588" t="s">
        <v>315</v>
      </c>
      <c r="I16" s="589"/>
      <c r="J16" s="109" t="s">
        <v>316</v>
      </c>
      <c r="K16" s="595"/>
      <c r="L16" s="537"/>
      <c r="M16" s="603"/>
      <c r="N16" s="108"/>
      <c r="T16" s="98"/>
    </row>
    <row r="17" spans="2:20" ht="17" hidden="1" x14ac:dyDescent="0.35">
      <c r="B17" s="95"/>
      <c r="C17" s="110"/>
      <c r="D17" s="111"/>
      <c r="E17" s="112"/>
      <c r="F17" s="113" t="s">
        <v>453</v>
      </c>
      <c r="G17" s="113">
        <v>0</v>
      </c>
      <c r="H17" s="113">
        <v>1</v>
      </c>
      <c r="I17" s="113"/>
      <c r="J17" s="113">
        <v>2</v>
      </c>
      <c r="K17" s="112"/>
      <c r="L17" s="112"/>
      <c r="M17" s="114"/>
      <c r="N17" s="108"/>
      <c r="T17" s="98"/>
    </row>
    <row r="18" spans="2:20" ht="17.5" customHeight="1" x14ac:dyDescent="0.35">
      <c r="B18" s="95"/>
      <c r="C18" s="568" t="s">
        <v>290</v>
      </c>
      <c r="D18" s="575"/>
      <c r="E18" s="575"/>
      <c r="F18" s="575"/>
      <c r="G18" s="575"/>
      <c r="H18" s="575"/>
      <c r="I18" s="575"/>
      <c r="J18" s="575"/>
      <c r="K18" s="575"/>
      <c r="L18" s="575"/>
      <c r="M18" s="569"/>
      <c r="N18" s="115"/>
      <c r="T18" s="98"/>
    </row>
    <row r="19" spans="2:20" ht="17" x14ac:dyDescent="0.4">
      <c r="B19" s="95"/>
      <c r="C19" s="103" t="s">
        <v>38</v>
      </c>
      <c r="D19" s="103"/>
      <c r="E19" s="116">
        <f>SUMIF('Scoring (health)'!$C:$C,'Results (people)'!$C19,'Scoring (health)'!N:N)</f>
        <v>5</v>
      </c>
      <c r="F19" s="117">
        <f>COUNTIFS('Scoring (health)'!$C:$C,'Results (people)'!$C19,'Scoring (health)'!$O:$O,'Results (people)'!F$17,'Scoring (health)'!$Q:$Q,"&lt;&gt;NA")</f>
        <v>0</v>
      </c>
      <c r="G19" s="117">
        <f>COUNTIFS('Scoring (health)'!$C:$C,'Results (people)'!$C19,'Scoring (health)'!$O:$O,'Results (people)'!G$17,'Scoring (health)'!$Q:$Q,"&lt;&gt;NA")</f>
        <v>5</v>
      </c>
      <c r="H19" s="600">
        <f>COUNTIFS('Scoring (health)'!$C:$C,'Results (people)'!$C19,'Scoring (health)'!$O:$O,'Results (people)'!H$17,'Scoring (health)'!$Q:$Q,"&lt;&gt;NA")</f>
        <v>0</v>
      </c>
      <c r="I19" s="601"/>
      <c r="J19" s="117">
        <f>COUNTIFS('Scoring (health)'!$C:$C,'Results (people)'!$C19,'Scoring (health)'!$O:$O,'Results (people)'!J$17,'Scoring (health)'!$Q:$Q,"&lt;&gt;NA")</f>
        <v>0</v>
      </c>
      <c r="K19" s="550" t="str">
        <f>VLOOKUP($C19,'Scoring (health)'!$G:$T,11,0)&amp;"/"&amp;VLOOKUP($C19,'Scoring (health)'!$G:$T,12,0)</f>
        <v>0/10</v>
      </c>
      <c r="L19" s="551"/>
      <c r="M19" s="118">
        <f>IFERROR(VLOOKUP($C19,'Scoring (health)'!$G:$T,11,0)/VLOOKUP($C19,'Scoring (health)'!$G:$T,12,0),"N/A")</f>
        <v>0</v>
      </c>
      <c r="N19" s="107"/>
      <c r="T19" s="98"/>
    </row>
    <row r="20" spans="2:20" ht="17" x14ac:dyDescent="0.4">
      <c r="B20" s="95"/>
      <c r="C20" s="103" t="s">
        <v>54</v>
      </c>
      <c r="D20" s="103"/>
      <c r="E20" s="116">
        <f>SUMIF('Scoring (health)'!$C:$C,'Results (people)'!$C20,'Scoring (health)'!N:N)</f>
        <v>6</v>
      </c>
      <c r="F20" s="117">
        <f>COUNTIFS('Scoring (health)'!$C:$C,'Results (people)'!$C20,'Scoring (health)'!$O:$O,'Results (people)'!F$17,'Scoring (health)'!$Q:$Q,"&lt;&gt;NA")</f>
        <v>0</v>
      </c>
      <c r="G20" s="117">
        <f>COUNTIFS('Scoring (health)'!$C:$C,'Results (people)'!$C20,'Scoring (health)'!$O:$O,'Results (people)'!G$17,'Scoring (health)'!$Q:$Q,"&lt;&gt;NA")</f>
        <v>6</v>
      </c>
      <c r="H20" s="600">
        <f>COUNTIFS('Scoring (health)'!$C:$C,'Results (people)'!$C20,'Scoring (health)'!$O:$O,'Results (people)'!H$17,'Scoring (health)'!$Q:$Q,"&lt;&gt;NA")</f>
        <v>0</v>
      </c>
      <c r="I20" s="601"/>
      <c r="J20" s="117">
        <f>COUNTIFS('Scoring (health)'!$C:$C,'Results (people)'!$C20,'Scoring (health)'!$O:$O,'Results (people)'!J$17,'Scoring (health)'!$Q:$Q,"&lt;&gt;NA")</f>
        <v>0</v>
      </c>
      <c r="K20" s="550" t="str">
        <f>VLOOKUP($C20,'Scoring (health)'!$G:$T,11,0)&amp;"/"&amp;VLOOKUP($C20,'Scoring (health)'!$G:$T,12,0)</f>
        <v>0/12</v>
      </c>
      <c r="L20" s="551"/>
      <c r="M20" s="118">
        <f>IFERROR(VLOOKUP($C20,'Scoring (health)'!$G:$T,11,0)/VLOOKUP($C20,'Scoring (health)'!$G:$T,12,0),"N/A")</f>
        <v>0</v>
      </c>
      <c r="N20" s="107"/>
      <c r="T20" s="98"/>
    </row>
    <row r="21" spans="2:20" ht="17" x14ac:dyDescent="0.4">
      <c r="B21" s="95"/>
      <c r="C21" s="103" t="s">
        <v>72</v>
      </c>
      <c r="D21" s="103"/>
      <c r="E21" s="116">
        <f>SUMIF('Scoring (health)'!$C:$C,'Results (people)'!$C21,'Scoring (health)'!N:N)</f>
        <v>7</v>
      </c>
      <c r="F21" s="117">
        <f>COUNTIFS('Scoring (health)'!$C:$C,'Results (people)'!$C21,'Scoring (health)'!$O:$O,'Results (people)'!F$17,'Scoring (health)'!$Q:$Q,"&lt;&gt;NA")</f>
        <v>0</v>
      </c>
      <c r="G21" s="117">
        <f>COUNTIFS('Scoring (health)'!$C:$C,'Results (people)'!$C21,'Scoring (health)'!$O:$O,'Results (people)'!G$17,'Scoring (health)'!$Q:$Q,"&lt;&gt;NA")</f>
        <v>7</v>
      </c>
      <c r="H21" s="600">
        <f>COUNTIFS('Scoring (health)'!$C:$C,'Results (people)'!$C21,'Scoring (health)'!$O:$O,'Results (people)'!H$17,'Scoring (health)'!$Q:$Q,"&lt;&gt;NA")</f>
        <v>0</v>
      </c>
      <c r="I21" s="601"/>
      <c r="J21" s="117">
        <f>COUNTIFS('Scoring (health)'!$C:$C,'Results (people)'!$C21,'Scoring (health)'!$O:$O,'Results (people)'!J$17,'Scoring (health)'!$Q:$Q,"&lt;&gt;NA")</f>
        <v>0</v>
      </c>
      <c r="K21" s="550" t="str">
        <f>VLOOKUP($C21,'Scoring (health)'!$G:$T,11,0)&amp;"/"&amp;VLOOKUP($C21,'Scoring (health)'!$G:$T,12,0)</f>
        <v>0/14</v>
      </c>
      <c r="L21" s="551"/>
      <c r="M21" s="118">
        <f>IFERROR(VLOOKUP($C21,'Scoring (health)'!$G:$T,11,0)/VLOOKUP($C21,'Scoring (health)'!$G:$T,12,0),"N/A")</f>
        <v>0</v>
      </c>
      <c r="N21" s="107"/>
      <c r="T21" s="98"/>
    </row>
    <row r="22" spans="2:20" ht="17" x14ac:dyDescent="0.4">
      <c r="B22" s="95"/>
      <c r="C22" s="103" t="s">
        <v>100</v>
      </c>
      <c r="D22" s="103"/>
      <c r="E22" s="116">
        <f>SUMIF('Scoring (health)'!$C:$C,'Results (people)'!$C22,'Scoring (health)'!N:N)</f>
        <v>13</v>
      </c>
      <c r="F22" s="117">
        <f>COUNTIFS('Scoring (health)'!$C:$C,'Results (people)'!$C22,'Scoring (health)'!$O:$O,'Results (people)'!F$17,'Scoring (health)'!$Q:$Q,"&lt;&gt;NA")</f>
        <v>0</v>
      </c>
      <c r="G22" s="117">
        <f>COUNTIFS('Scoring (health)'!$C:$C,'Results (people)'!$C22,'Scoring (health)'!$O:$O,'Results (people)'!G$17,'Scoring (health)'!$Q:$Q,"&lt;&gt;NA")</f>
        <v>13</v>
      </c>
      <c r="H22" s="600">
        <f>COUNTIFS('Scoring (health)'!$C:$C,'Results (people)'!$C22,'Scoring (health)'!$O:$O,'Results (people)'!H$17,'Scoring (health)'!$Q:$Q,"&lt;&gt;NA")</f>
        <v>0</v>
      </c>
      <c r="I22" s="601"/>
      <c r="J22" s="117">
        <f>COUNTIFS('Scoring (health)'!$C:$C,'Results (people)'!$C22,'Scoring (health)'!$O:$O,'Results (people)'!J$17,'Scoring (health)'!$Q:$Q,"&lt;&gt;NA")</f>
        <v>0</v>
      </c>
      <c r="K22" s="550" t="str">
        <f>VLOOKUP($C22,'Scoring (health)'!$G:$T,11,0)&amp;"/"&amp;VLOOKUP($C22,'Scoring (health)'!$G:$T,12,0)</f>
        <v>0/26</v>
      </c>
      <c r="L22" s="551"/>
      <c r="M22" s="118">
        <f>IFERROR(VLOOKUP($C22,'Scoring (health)'!$G:$T,11,0)/VLOOKUP($C22,'Scoring (health)'!$G:$T,12,0),"N/A")</f>
        <v>0</v>
      </c>
      <c r="N22" s="107"/>
      <c r="T22" s="98"/>
    </row>
    <row r="23" spans="2:20" ht="17.5" customHeight="1" x14ac:dyDescent="0.4">
      <c r="B23" s="95"/>
      <c r="C23" s="103" t="s">
        <v>162</v>
      </c>
      <c r="D23" s="103"/>
      <c r="E23" s="116">
        <f>SUMIF('Scoring (health)'!$C:$C,'Results (people)'!$C23,'Scoring (health)'!N:N)</f>
        <v>11</v>
      </c>
      <c r="F23" s="117">
        <f>COUNTIFS('Scoring (health)'!$C:$C,'Results (people)'!$C23,'Scoring (health)'!$O:$O,'Results (people)'!F$17,'Scoring (health)'!$Q:$Q,"&lt;&gt;NA")</f>
        <v>0</v>
      </c>
      <c r="G23" s="117">
        <f>COUNTIFS('Scoring (health)'!$C:$C,'Results (people)'!$C23,'Scoring (health)'!$O:$O,'Results (people)'!G$17,'Scoring (health)'!$Q:$Q,"&lt;&gt;NA")</f>
        <v>11</v>
      </c>
      <c r="H23" s="600">
        <f>COUNTIFS('Scoring (health)'!$C:$C,'Results (people)'!$C23,'Scoring (health)'!$O:$O,'Results (people)'!H$17,'Scoring (health)'!$Q:$Q,"&lt;&gt;NA")</f>
        <v>0</v>
      </c>
      <c r="I23" s="601"/>
      <c r="J23" s="117">
        <f>COUNTIFS('Scoring (health)'!$C:$C,'Results (people)'!$C23,'Scoring (health)'!$O:$O,'Results (people)'!J$17,'Scoring (health)'!$Q:$Q,"&lt;&gt;NA")</f>
        <v>0</v>
      </c>
      <c r="K23" s="550" t="e">
        <f>VLOOKUP($C23,'Scoring (health)'!$G:$T,11,0)&amp;"/"&amp;VLOOKUP($C23,'Scoring (health)'!$G:$T,12,0)</f>
        <v>#REF!</v>
      </c>
      <c r="L23" s="551"/>
      <c r="M23" s="118" t="str">
        <f>IFERROR(VLOOKUP($C23,'Scoring (health)'!$G:$T,11,0)/VLOOKUP($C23,'Scoring (health)'!$G:$T,12,0),"N/A")</f>
        <v>N/A</v>
      </c>
      <c r="N23" s="107"/>
      <c r="T23" s="98"/>
    </row>
    <row r="24" spans="2:20" ht="17" x14ac:dyDescent="0.4">
      <c r="B24" s="95"/>
      <c r="C24" s="103" t="s">
        <v>210</v>
      </c>
      <c r="D24" s="103"/>
      <c r="E24" s="116">
        <f>SUMIF('Scoring (health)'!$C:$C,'Results (people)'!$C24,'Scoring (health)'!N:N)</f>
        <v>12</v>
      </c>
      <c r="F24" s="117">
        <f>COUNTIFS('Scoring (health)'!$C:$C,'Results (people)'!$C24,'Scoring (health)'!$O:$O,'Results (people)'!F$17,'Scoring (health)'!$Q:$Q,"&lt;&gt;NA")</f>
        <v>0</v>
      </c>
      <c r="G24" s="117">
        <f>COUNTIFS('Scoring (health)'!$C:$C,'Results (people)'!$C24,'Scoring (health)'!$O:$O,'Results (people)'!G$17,'Scoring (health)'!$Q:$Q,"&lt;&gt;NA")</f>
        <v>12</v>
      </c>
      <c r="H24" s="600">
        <f>COUNTIFS('Scoring (health)'!$C:$C,'Results (people)'!$C24,'Scoring (health)'!$O:$O,'Results (people)'!H$17,'Scoring (health)'!$Q:$Q,"&lt;&gt;NA")</f>
        <v>0</v>
      </c>
      <c r="I24" s="601"/>
      <c r="J24" s="117">
        <f>COUNTIFS('Scoring (health)'!$C:$C,'Results (people)'!$C24,'Scoring (health)'!$O:$O,'Results (people)'!J$17,'Scoring (health)'!$Q:$Q,"&lt;&gt;NA")</f>
        <v>0</v>
      </c>
      <c r="K24" s="550" t="str">
        <f>VLOOKUP($C24,'Scoring (health)'!$G:$T,11,0)&amp;"/"&amp;VLOOKUP($C24,'Scoring (health)'!$G:$T,12,0)</f>
        <v>0/24</v>
      </c>
      <c r="L24" s="551"/>
      <c r="M24" s="118">
        <f>IFERROR(VLOOKUP($C24,'Scoring (health)'!$G:$T,11,0)/VLOOKUP($C24,'Scoring (health)'!$G:$T,12,0),"N/A")</f>
        <v>0</v>
      </c>
      <c r="N24" s="107"/>
      <c r="T24" s="98"/>
    </row>
    <row r="25" spans="2:20" ht="17" x14ac:dyDescent="0.4">
      <c r="B25" s="95"/>
      <c r="C25" s="103" t="s">
        <v>264</v>
      </c>
      <c r="D25" s="103"/>
      <c r="E25" s="116">
        <f>SUMIF('Scoring (health)'!$C:$C,'Results (people)'!$C25,'Scoring (health)'!N:N)</f>
        <v>5</v>
      </c>
      <c r="F25" s="117">
        <f>COUNTIFS('Scoring (health)'!$C:$C,'Results (people)'!$C25,'Scoring (health)'!$O:$O,'Results (people)'!F$17,'Scoring (health)'!$Q:$Q,"&lt;&gt;NA")</f>
        <v>0</v>
      </c>
      <c r="G25" s="117">
        <f>COUNTIFS('Scoring (health)'!$C:$C,'Results (people)'!$C25,'Scoring (health)'!$O:$O,'Results (people)'!G$17,'Scoring (health)'!$Q:$Q,"&lt;&gt;NA")</f>
        <v>5</v>
      </c>
      <c r="H25" s="600">
        <f>COUNTIFS('Scoring (health)'!$C:$C,'Results (people)'!$C25,'Scoring (health)'!$O:$O,'Results (people)'!H$17,'Scoring (health)'!$Q:$Q,"&lt;&gt;NA")</f>
        <v>0</v>
      </c>
      <c r="I25" s="601"/>
      <c r="J25" s="117">
        <f>COUNTIFS('Scoring (health)'!$C:$C,'Results (people)'!$C25,'Scoring (health)'!$O:$O,'Results (people)'!J$17,'Scoring (health)'!$Q:$Q,"&lt;&gt;NA")</f>
        <v>0</v>
      </c>
      <c r="K25" s="550" t="str">
        <f>VLOOKUP($C25,'Scoring (health)'!$G:$T,11,0)&amp;"/"&amp;VLOOKUP($C25,'Scoring (health)'!$G:$T,12,0)</f>
        <v>0/10</v>
      </c>
      <c r="L25" s="551"/>
      <c r="M25" s="118">
        <f>IFERROR(VLOOKUP($C25,'Scoring (health)'!$G:$T,11,0)/VLOOKUP($C25,'Scoring (health)'!$G:$T,12,0),"N/A")</f>
        <v>0</v>
      </c>
      <c r="N25" s="107"/>
      <c r="T25" s="98"/>
    </row>
    <row r="26" spans="2:20" ht="17.5" customHeight="1" x14ac:dyDescent="0.35">
      <c r="B26" s="95"/>
      <c r="C26" s="570" t="s">
        <v>317</v>
      </c>
      <c r="D26" s="572"/>
      <c r="E26" s="572"/>
      <c r="F26" s="572"/>
      <c r="G26" s="572"/>
      <c r="H26" s="572"/>
      <c r="I26" s="572"/>
      <c r="J26" s="572"/>
      <c r="K26" s="572"/>
      <c r="L26" s="572"/>
      <c r="M26" s="571"/>
      <c r="N26" s="119"/>
      <c r="T26" s="98"/>
    </row>
    <row r="27" spans="2:20" ht="17" x14ac:dyDescent="0.4">
      <c r="B27" s="95"/>
      <c r="C27" s="120" t="s">
        <v>38</v>
      </c>
      <c r="E27" s="121">
        <f>SUMIF('Scoring (health)'!$C:$C,'Results (people)'!$C27,'Scoring (health)'!N:N)</f>
        <v>5</v>
      </c>
      <c r="F27" s="122">
        <f>COUNTIFS('Scoring (health)'!$C:$C,'Results (people)'!$C27,'Scoring (health)'!$P:$P,'Results (people)'!F$17,'Scoring (health)'!$Q:$Q,"&lt;&gt;NA")</f>
        <v>0</v>
      </c>
      <c r="G27" s="122">
        <f>COUNTIFS('Scoring (health)'!$C:$C,'Results (people)'!$C27,'Scoring (health)'!$P:$P,'Results (people)'!G$17,'Scoring (health)'!$Q:$Q,"&lt;&gt;NA")</f>
        <v>4</v>
      </c>
      <c r="H27" s="600">
        <f>COUNTIFS('Scoring (health)'!$C:$C,'Results (people)'!$C27,'Scoring (health)'!$P:$P,'Results (people)'!H$17,'Scoring (health)'!$Q:$Q,"&lt;&gt;NA")</f>
        <v>1</v>
      </c>
      <c r="I27" s="601"/>
      <c r="J27" s="122">
        <f>COUNTIFS('Scoring (health)'!$C:$C,'Results (people)'!$C27,'Scoring (health)'!$P:$P,'Results (people)'!J$17,'Scoring (health)'!$Q:$Q,"&lt;&gt;NA")</f>
        <v>0</v>
      </c>
      <c r="K27" s="550" t="str">
        <f>VLOOKUP($C27,'Scoring (health)'!$G:$T,13,0)&amp;"/"&amp;VLOOKUP($C27,'Scoring (health)'!$G:$T,14,0)</f>
        <v>0/10</v>
      </c>
      <c r="L27" s="551"/>
      <c r="M27" s="123">
        <f>IFERROR(VLOOKUP($C27,'Scoring (health)'!$G:$T,13,0)/VLOOKUP($C27,'Scoring (health)'!$G:$T,14,0),"N/A")</f>
        <v>0</v>
      </c>
      <c r="N27" s="107"/>
      <c r="T27" s="98"/>
    </row>
    <row r="28" spans="2:20" ht="17" x14ac:dyDescent="0.4">
      <c r="B28" s="95"/>
      <c r="C28" s="103" t="s">
        <v>54</v>
      </c>
      <c r="E28" s="116">
        <f>SUMIF('Scoring (health)'!$C:$C,'Results (people)'!$C28,'Scoring (health)'!N:N)</f>
        <v>6</v>
      </c>
      <c r="F28" s="122">
        <f>COUNTIFS('Scoring (health)'!$C:$C,'Results (people)'!$C28,'Scoring (health)'!$P:$P,'Results (people)'!F$17,'Scoring (health)'!$Q:$Q,"&lt;&gt;NA")</f>
        <v>0</v>
      </c>
      <c r="G28" s="122">
        <f>COUNTIFS('Scoring (health)'!$C:$C,'Results (people)'!$C28,'Scoring (health)'!$P:$P,'Results (people)'!G$17,'Scoring (health)'!$Q:$Q,"&lt;&gt;NA")</f>
        <v>6</v>
      </c>
      <c r="H28" s="600">
        <f>COUNTIFS('Scoring (health)'!$C:$C,'Results (people)'!$C28,'Scoring (health)'!$P:$P,'Results (people)'!H$17,'Scoring (health)'!$Q:$Q,"&lt;&gt;NA")</f>
        <v>0</v>
      </c>
      <c r="I28" s="601"/>
      <c r="J28" s="122">
        <f>COUNTIFS('Scoring (health)'!$C:$C,'Results (people)'!$C28,'Scoring (health)'!$P:$P,'Results (people)'!J$17,'Scoring (health)'!$Q:$Q,"&lt;&gt;NA")</f>
        <v>0</v>
      </c>
      <c r="K28" s="550" t="str">
        <f>VLOOKUP($C28,'Scoring (health)'!$G:$T,13,0)&amp;"/"&amp;VLOOKUP($C28,'Scoring (health)'!$G:$T,14,0)</f>
        <v>0/12</v>
      </c>
      <c r="L28" s="551"/>
      <c r="M28" s="123">
        <f>IFERROR(VLOOKUP($C28,'Scoring (health)'!$G:$T,13,0)/VLOOKUP($C28,'Scoring (health)'!$G:$T,14,0),"N/A")</f>
        <v>0</v>
      </c>
      <c r="N28" s="107"/>
      <c r="T28" s="98"/>
    </row>
    <row r="29" spans="2:20" ht="17" x14ac:dyDescent="0.4">
      <c r="B29" s="95"/>
      <c r="C29" s="103" t="s">
        <v>72</v>
      </c>
      <c r="E29" s="116">
        <f>SUMIF('Scoring (health)'!$C:$C,'Results (people)'!$C29,'Scoring (health)'!N:N)</f>
        <v>7</v>
      </c>
      <c r="F29" s="122">
        <f>COUNTIFS('Scoring (health)'!$C:$C,'Results (people)'!$C29,'Scoring (health)'!$P:$P,'Results (people)'!F$17,'Scoring (health)'!$Q:$Q,"&lt;&gt;NA")</f>
        <v>0</v>
      </c>
      <c r="G29" s="122">
        <f>COUNTIFS('Scoring (health)'!$C:$C,'Results (people)'!$C29,'Scoring (health)'!$P:$P,'Results (people)'!G$17,'Scoring (health)'!$Q:$Q,"&lt;&gt;NA")</f>
        <v>7</v>
      </c>
      <c r="H29" s="600">
        <f>COUNTIFS('Scoring (health)'!$C:$C,'Results (people)'!$C29,'Scoring (health)'!$P:$P,'Results (people)'!H$17,'Scoring (health)'!$Q:$Q,"&lt;&gt;NA")</f>
        <v>0</v>
      </c>
      <c r="I29" s="601"/>
      <c r="J29" s="122">
        <f>COUNTIFS('Scoring (health)'!$C:$C,'Results (people)'!$C29,'Scoring (health)'!$P:$P,'Results (people)'!J$17,'Scoring (health)'!$Q:$Q,"&lt;&gt;NA")</f>
        <v>0</v>
      </c>
      <c r="K29" s="550" t="str">
        <f>VLOOKUP($C29,'Scoring (health)'!$G:$T,13,0)&amp;"/"&amp;VLOOKUP($C29,'Scoring (health)'!$G:$T,14,0)</f>
        <v>0/14</v>
      </c>
      <c r="L29" s="551"/>
      <c r="M29" s="123">
        <f>IFERROR(VLOOKUP($C29,'Scoring (health)'!$G:$T,13,0)/VLOOKUP($C29,'Scoring (health)'!$G:$T,14,0),"N/A")</f>
        <v>0</v>
      </c>
      <c r="N29" s="107"/>
      <c r="T29" s="98"/>
    </row>
    <row r="30" spans="2:20" ht="17" x14ac:dyDescent="0.4">
      <c r="B30" s="95"/>
      <c r="C30" s="103" t="s">
        <v>100</v>
      </c>
      <c r="E30" s="116">
        <f>SUMIF('Scoring (health)'!$C:$C,'Results (people)'!$C30,'Scoring (health)'!N:N)</f>
        <v>13</v>
      </c>
      <c r="F30" s="122">
        <f>COUNTIFS('Scoring (health)'!$C:$C,'Results (people)'!$C30,'Scoring (health)'!$P:$P,'Results (people)'!F$17,'Scoring (health)'!$Q:$Q,"&lt;&gt;NA")</f>
        <v>0</v>
      </c>
      <c r="G30" s="122">
        <f>COUNTIFS('Scoring (health)'!$C:$C,'Results (people)'!$C30,'Scoring (health)'!$P:$P,'Results (people)'!G$17,'Scoring (health)'!$Q:$Q,"&lt;&gt;NA")</f>
        <v>13</v>
      </c>
      <c r="H30" s="600">
        <f>COUNTIFS('Scoring (health)'!$C:$C,'Results (people)'!$C30,'Scoring (health)'!$P:$P,'Results (people)'!H$17,'Scoring (health)'!$Q:$Q,"&lt;&gt;NA")</f>
        <v>0</v>
      </c>
      <c r="I30" s="601"/>
      <c r="J30" s="122">
        <f>COUNTIFS('Scoring (health)'!$C:$C,'Results (people)'!$C30,'Scoring (health)'!$P:$P,'Results (people)'!J$17,'Scoring (health)'!$Q:$Q,"&lt;&gt;NA")</f>
        <v>0</v>
      </c>
      <c r="K30" s="550" t="str">
        <f>VLOOKUP($C30,'Scoring (health)'!$G:$T,13,0)&amp;"/"&amp;VLOOKUP($C30,'Scoring (health)'!$G:$T,14,0)</f>
        <v>0/26</v>
      </c>
      <c r="L30" s="551"/>
      <c r="M30" s="123">
        <f>IFERROR(VLOOKUP($C30,'Scoring (health)'!$G:$T,13,0)/VLOOKUP($C30,'Scoring (health)'!$G:$T,14,0),"N/A")</f>
        <v>0</v>
      </c>
      <c r="N30" s="107"/>
      <c r="T30" s="98"/>
    </row>
    <row r="31" spans="2:20" ht="17" x14ac:dyDescent="0.4">
      <c r="B31" s="95"/>
      <c r="C31" s="103" t="s">
        <v>162</v>
      </c>
      <c r="E31" s="116">
        <f>SUMIF('Scoring (health)'!$C:$C,'Results (people)'!$C31,'Scoring (health)'!N:N)</f>
        <v>11</v>
      </c>
      <c r="F31" s="122">
        <f>COUNTIFS('Scoring (health)'!$C:$C,'Results (people)'!$C31,'Scoring (health)'!$P:$P,'Results (people)'!F$17,'Scoring (health)'!$Q:$Q,"&lt;&gt;NA")</f>
        <v>0</v>
      </c>
      <c r="G31" s="122">
        <f>COUNTIFS('Scoring (health)'!$C:$C,'Results (people)'!$C31,'Scoring (health)'!$P:$P,'Results (people)'!G$17,'Scoring (health)'!$Q:$Q,"&lt;&gt;NA")</f>
        <v>11</v>
      </c>
      <c r="H31" s="600">
        <f>COUNTIFS('Scoring (health)'!$C:$C,'Results (people)'!$C31,'Scoring (health)'!$P:$P,'Results (people)'!H$17,'Scoring (health)'!$Q:$Q,"&lt;&gt;NA")</f>
        <v>0</v>
      </c>
      <c r="I31" s="601"/>
      <c r="J31" s="122">
        <f>COUNTIFS('Scoring (health)'!$C:$C,'Results (people)'!$C31,'Scoring (health)'!$P:$P,'Results (people)'!J$17,'Scoring (health)'!$Q:$Q,"&lt;&gt;NA")</f>
        <v>0</v>
      </c>
      <c r="K31" s="550" t="e">
        <f>VLOOKUP($C31,'Scoring (health)'!$G:$T,13,0)&amp;"/"&amp;VLOOKUP($C31,'Scoring (health)'!$G:$T,14,0)</f>
        <v>#REF!</v>
      </c>
      <c r="L31" s="551"/>
      <c r="M31" s="123" t="str">
        <f>IFERROR(VLOOKUP($C31,'Scoring (health)'!$G:$T,13,0)/VLOOKUP($C31,'Scoring (health)'!$G:$T,14,0),"N/A")</f>
        <v>N/A</v>
      </c>
      <c r="N31" s="107"/>
      <c r="T31" s="98"/>
    </row>
    <row r="32" spans="2:20" ht="17" x14ac:dyDescent="0.4">
      <c r="B32" s="95"/>
      <c r="C32" s="103" t="s">
        <v>210</v>
      </c>
      <c r="E32" s="116">
        <f>SUMIF('Scoring (health)'!$C:$C,'Results (people)'!$C32,'Scoring (health)'!N:N)</f>
        <v>12</v>
      </c>
      <c r="F32" s="122">
        <f>COUNTIFS('Scoring (health)'!$C:$C,'Results (people)'!$C32,'Scoring (health)'!$P:$P,'Results (people)'!F$17,'Scoring (health)'!$Q:$Q,"&lt;&gt;NA")</f>
        <v>0</v>
      </c>
      <c r="G32" s="122">
        <f>COUNTIFS('Scoring (health)'!$C:$C,'Results (people)'!$C32,'Scoring (health)'!$P:$P,'Results (people)'!G$17,'Scoring (health)'!$Q:$Q,"&lt;&gt;NA")</f>
        <v>12</v>
      </c>
      <c r="H32" s="600">
        <f>COUNTIFS('Scoring (health)'!$C:$C,'Results (people)'!$C32,'Scoring (health)'!$P:$P,'Results (people)'!H$17,'Scoring (health)'!$Q:$Q,"&lt;&gt;NA")</f>
        <v>0</v>
      </c>
      <c r="I32" s="601"/>
      <c r="J32" s="122">
        <f>COUNTIFS('Scoring (health)'!$C:$C,'Results (people)'!$C32,'Scoring (health)'!$P:$P,'Results (people)'!J$17,'Scoring (health)'!$Q:$Q,"&lt;&gt;NA")</f>
        <v>0</v>
      </c>
      <c r="K32" s="550" t="str">
        <f>VLOOKUP($C32,'Scoring (health)'!$G:$T,13,0)&amp;"/"&amp;VLOOKUP($C32,'Scoring (health)'!$G:$T,14,0)</f>
        <v>0/24</v>
      </c>
      <c r="L32" s="551"/>
      <c r="M32" s="123">
        <f>IFERROR(VLOOKUP($C32,'Scoring (health)'!$G:$T,13,0)/VLOOKUP($C32,'Scoring (health)'!$G:$T,14,0),"N/A")</f>
        <v>0</v>
      </c>
      <c r="N32" s="107"/>
      <c r="T32" s="98"/>
    </row>
    <row r="33" spans="2:20" ht="17" x14ac:dyDescent="0.4">
      <c r="B33" s="95"/>
      <c r="C33" s="103" t="s">
        <v>264</v>
      </c>
      <c r="E33" s="116">
        <f>SUMIF('Scoring (health)'!$C:$C,'Results (people)'!$C33,'Scoring (health)'!N:N)</f>
        <v>5</v>
      </c>
      <c r="F33" s="122">
        <f>COUNTIFS('Scoring (health)'!$C:$C,'Results (people)'!$C33,'Scoring (health)'!$P:$P,'Results (people)'!F$17,'Scoring (health)'!$Q:$Q,"&lt;&gt;NA")</f>
        <v>0</v>
      </c>
      <c r="G33" s="122">
        <f>COUNTIFS('Scoring (health)'!$C:$C,'Results (people)'!$C33,'Scoring (health)'!$P:$P,'Results (people)'!G$17,'Scoring (health)'!$Q:$Q,"&lt;&gt;NA")</f>
        <v>5</v>
      </c>
      <c r="H33" s="600">
        <f>COUNTIFS('Scoring (health)'!$C:$C,'Results (people)'!$C33,'Scoring (health)'!$P:$P,'Results (people)'!H$17,'Scoring (health)'!$Q:$Q,"&lt;&gt;NA")</f>
        <v>0</v>
      </c>
      <c r="I33" s="601"/>
      <c r="J33" s="122">
        <f>COUNTIFS('Scoring (health)'!$C:$C,'Results (people)'!$C33,'Scoring (health)'!$P:$P,'Results (people)'!J$17,'Scoring (health)'!$Q:$Q,"&lt;&gt;NA")</f>
        <v>0</v>
      </c>
      <c r="K33" s="550" t="str">
        <f>VLOOKUP($C33,'Scoring (health)'!$G:$T,13,0)&amp;"/"&amp;VLOOKUP($C33,'Scoring (health)'!$G:$T,14,0)</f>
        <v>0/10</v>
      </c>
      <c r="L33" s="551"/>
      <c r="M33" s="123">
        <f>IFERROR(VLOOKUP($C33,'Scoring (health)'!$G:$T,13,0)/VLOOKUP($C33,'Scoring (health)'!$G:$T,14,0),"N/A")</f>
        <v>0</v>
      </c>
      <c r="N33" s="107"/>
      <c r="T33" s="98"/>
    </row>
    <row r="34" spans="2:20" x14ac:dyDescent="0.35">
      <c r="B34" s="95"/>
      <c r="T34" s="98"/>
    </row>
    <row r="35" spans="2:20" ht="17" x14ac:dyDescent="0.4">
      <c r="B35" s="95"/>
      <c r="C35" s="604" t="s">
        <v>570</v>
      </c>
      <c r="D35" s="605"/>
      <c r="E35" s="605"/>
      <c r="F35" s="605"/>
      <c r="G35" s="605"/>
      <c r="H35" s="605"/>
      <c r="I35" s="605"/>
      <c r="J35" s="605"/>
      <c r="K35" s="605"/>
      <c r="L35" s="605"/>
      <c r="M35" s="606"/>
      <c r="N35" s="124"/>
      <c r="T35" s="98"/>
    </row>
    <row r="36" spans="2:20" ht="17.5" customHeight="1" x14ac:dyDescent="0.4">
      <c r="B36" s="95"/>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2:20" ht="17.149999999999999" customHeight="1" x14ac:dyDescent="0.4">
      <c r="B37" s="95"/>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2:20" ht="17.149999999999999" customHeight="1" x14ac:dyDescent="0.4">
      <c r="B38" s="95"/>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2:20" ht="17.149999999999999" customHeight="1" x14ac:dyDescent="0.4">
      <c r="B39" s="95"/>
      <c r="C39" s="543" t="str">
        <f>Validation!L5</f>
        <v>6. Distance between formal crossing points considering PCU's a day</v>
      </c>
      <c r="D39" s="544"/>
      <c r="E39" s="545"/>
      <c r="F39" s="543" t="str">
        <f>Validation!N5</f>
        <v>33. Uniformity and quality of street lighting and its impact on users</v>
      </c>
      <c r="G39" s="544"/>
      <c r="H39" s="544"/>
      <c r="I39" s="544"/>
      <c r="J39" s="544"/>
      <c r="K39" s="544"/>
      <c r="L39" s="544"/>
      <c r="M39" s="545"/>
      <c r="N39" s="125"/>
      <c r="T39" s="98"/>
    </row>
    <row r="40" spans="2:20" ht="17.149999999999999" customHeight="1" x14ac:dyDescent="0.4">
      <c r="B40" s="95"/>
      <c r="C40" s="543" t="str">
        <f>Validation!L6</f>
        <v>7. Type of crossing facility appropriate for street context</v>
      </c>
      <c r="D40" s="544"/>
      <c r="E40" s="545"/>
      <c r="F40" s="543" t="e">
        <f>Validation!#REF!</f>
        <v>#REF!</v>
      </c>
      <c r="G40" s="544"/>
      <c r="H40" s="544"/>
      <c r="I40" s="544"/>
      <c r="J40" s="544"/>
      <c r="K40" s="544"/>
      <c r="L40" s="544"/>
      <c r="M40" s="545"/>
      <c r="N40" s="125"/>
      <c r="T40" s="98"/>
    </row>
    <row r="41" spans="2:20" ht="17.149999999999999" customHeight="1" x14ac:dyDescent="0.4">
      <c r="B41" s="95"/>
      <c r="C41" s="543" t="e">
        <f>Validation!#REF!</f>
        <v>#REF!</v>
      </c>
      <c r="D41" s="544"/>
      <c r="E41" s="545"/>
      <c r="F41" s="543" t="str">
        <f>Validation!N6</f>
        <v>44. Street to platform/boarding point step free access</v>
      </c>
      <c r="G41" s="544"/>
      <c r="H41" s="544"/>
      <c r="I41" s="544"/>
      <c r="J41" s="544"/>
      <c r="K41" s="544"/>
      <c r="L41" s="544"/>
      <c r="M41" s="545"/>
      <c r="N41" s="125"/>
      <c r="T41" s="98"/>
    </row>
    <row r="42" spans="2:20" ht="17.149999999999999" customHeight="1" x14ac:dyDescent="0.4">
      <c r="B42" s="95"/>
      <c r="C42" s="543" t="str">
        <f>Validation!L7</f>
        <v>12. Clear pedestrian routes that maintain minimum unobstructed width throughout</v>
      </c>
      <c r="D42" s="544"/>
      <c r="E42" s="545"/>
      <c r="F42" s="543" t="str">
        <f>Validation!N7</f>
        <v>48. Degree to which bus stop zone is universally accessible for people using the stop and people passing by</v>
      </c>
      <c r="G42" s="544"/>
      <c r="H42" s="544"/>
      <c r="I42" s="544"/>
      <c r="J42" s="544"/>
      <c r="K42" s="544"/>
      <c r="L42" s="544"/>
      <c r="M42" s="545"/>
      <c r="N42" s="125"/>
      <c r="T42" s="98"/>
    </row>
    <row r="43" spans="2:20" ht="17.149999999999999" customHeight="1" x14ac:dyDescent="0.4">
      <c r="B43" s="95"/>
      <c r="C43" s="543" t="str">
        <f>Validation!L8</f>
        <v>13. Trip hazards and surface quality</v>
      </c>
      <c r="D43" s="544"/>
      <c r="E43" s="545"/>
      <c r="F43" s="543" t="str">
        <f>Validation!N8</f>
        <v>51. Perception of safety at stop</v>
      </c>
      <c r="G43" s="544"/>
      <c r="H43" s="544"/>
      <c r="I43" s="544"/>
      <c r="J43" s="544"/>
      <c r="K43" s="544"/>
      <c r="L43" s="544"/>
      <c r="M43" s="545"/>
      <c r="N43" s="125"/>
      <c r="T43" s="98"/>
    </row>
    <row r="44" spans="2:20" ht="17.149999999999999" customHeight="1" x14ac:dyDescent="0.4">
      <c r="B44" s="95"/>
      <c r="C44" s="543" t="str">
        <f>Validation!L9</f>
        <v>14. Gradient over a specified distance</v>
      </c>
      <c r="D44" s="544"/>
      <c r="E44" s="545"/>
      <c r="F44" s="543" t="str">
        <f>Validation!N9</f>
        <v>53. Effective width next to a tramline on straight or curved section</v>
      </c>
      <c r="G44" s="544"/>
      <c r="H44" s="544"/>
      <c r="I44" s="544"/>
      <c r="J44" s="544"/>
      <c r="K44" s="544"/>
      <c r="L44" s="544"/>
      <c r="M44" s="545"/>
      <c r="N44" s="125"/>
      <c r="T44" s="98"/>
    </row>
    <row r="45" spans="2:20" ht="17.149999999999999" customHeight="1" x14ac:dyDescent="0.4">
      <c r="B45" s="95"/>
      <c r="C45" s="543" t="str">
        <f>Validation!L11</f>
        <v>18. Appropriateness and width of shared use with cycles</v>
      </c>
      <c r="D45" s="544"/>
      <c r="E45" s="545"/>
      <c r="F45" s="543" t="str">
        <f>Validation!N10</f>
        <v>54. Crossing angle</v>
      </c>
      <c r="G45" s="544"/>
      <c r="H45" s="544"/>
      <c r="I45" s="544"/>
      <c r="J45" s="544"/>
      <c r="K45" s="544"/>
      <c r="L45" s="544"/>
      <c r="M45" s="545"/>
      <c r="N45" s="125"/>
      <c r="T45" s="98"/>
    </row>
    <row r="46" spans="2:20" ht="17.149999999999999" customHeight="1" x14ac:dyDescent="0.4">
      <c r="B46" s="95"/>
      <c r="C46" s="543" t="str">
        <f>Validation!L12</f>
        <v>19. Speed at which drivers travel</v>
      </c>
      <c r="D46" s="544"/>
      <c r="E46" s="545"/>
      <c r="F46" s="543" t="str">
        <f>Validation!N11</f>
        <v>55. Width of shared use path</v>
      </c>
      <c r="G46" s="544"/>
      <c r="H46" s="544"/>
      <c r="I46" s="544"/>
      <c r="J46" s="544"/>
      <c r="K46" s="544"/>
      <c r="L46" s="544"/>
      <c r="M46" s="545"/>
      <c r="N46" s="125"/>
      <c r="T46" s="98"/>
    </row>
    <row r="47" spans="2:20" ht="17.149999999999999" customHeight="1" x14ac:dyDescent="0.4">
      <c r="B47" s="95"/>
      <c r="C47" s="543" t="str">
        <f>Validation!L13</f>
        <v>20. Total volume of traffic (PCU's)</v>
      </c>
      <c r="D47" s="544"/>
      <c r="E47" s="545"/>
      <c r="F47" s="543" t="str">
        <f>Validation!N12</f>
        <v>56. Degree to which access controls are universally accessible</v>
      </c>
      <c r="G47" s="544"/>
      <c r="H47" s="544"/>
      <c r="I47" s="544"/>
      <c r="J47" s="544"/>
      <c r="K47" s="544"/>
      <c r="L47" s="544"/>
      <c r="M47" s="545"/>
      <c r="N47" s="125"/>
      <c r="T47" s="98"/>
    </row>
    <row r="48" spans="2:20" ht="17.149999999999999" customHeight="1" x14ac:dyDescent="0.4">
      <c r="B48" s="95"/>
      <c r="C48" s="543" t="str">
        <f>Validation!L14</f>
        <v>21. Percentage of large vehicles in peak hour</v>
      </c>
      <c r="D48" s="544"/>
      <c r="E48" s="545"/>
      <c r="F48" s="543" t="str">
        <f>Validation!N13</f>
        <v>57. Surface/construction type</v>
      </c>
      <c r="G48" s="544"/>
      <c r="H48" s="544"/>
      <c r="I48" s="544"/>
      <c r="J48" s="544"/>
      <c r="K48" s="544"/>
      <c r="L48" s="544"/>
      <c r="M48" s="545"/>
      <c r="N48" s="125"/>
      <c r="T48" s="98"/>
    </row>
    <row r="49" spans="2:20" ht="17.149999999999999" customHeight="1" x14ac:dyDescent="0.4">
      <c r="B49" s="95"/>
      <c r="C49" s="543" t="str">
        <f>Validation!L15</f>
        <v>22. Clear nearside space in secondary position or motor vehicle volume in primary position</v>
      </c>
      <c r="D49" s="544"/>
      <c r="E49" s="545"/>
      <c r="F49" s="543" t="str">
        <f>Validation!N14</f>
        <v>58. Standard of lighting</v>
      </c>
      <c r="G49" s="544"/>
      <c r="H49" s="544"/>
      <c r="I49" s="544"/>
      <c r="J49" s="544"/>
      <c r="K49" s="544"/>
      <c r="L49" s="544"/>
      <c r="M49" s="545"/>
      <c r="N49" s="125"/>
      <c r="T49" s="98"/>
    </row>
    <row r="50" spans="2:20" ht="17.149999999999999" customHeight="1" x14ac:dyDescent="0.4">
      <c r="B50" s="95"/>
      <c r="C50" s="161"/>
      <c r="D50" s="161"/>
      <c r="E50" s="161"/>
      <c r="F50" s="543" t="str">
        <f>Validation!N15</f>
        <v>59. Existing steps or new/upgraded structures</v>
      </c>
      <c r="G50" s="544"/>
      <c r="H50" s="544"/>
      <c r="I50" s="544"/>
      <c r="J50" s="544"/>
      <c r="K50" s="544"/>
      <c r="L50" s="544"/>
      <c r="M50" s="545"/>
      <c r="N50" s="125"/>
      <c r="T50" s="98"/>
    </row>
    <row r="51" spans="2:20" ht="17" x14ac:dyDescent="0.4">
      <c r="B51" s="95"/>
      <c r="C51" s="161"/>
      <c r="D51" s="161"/>
      <c r="E51" s="161"/>
      <c r="F51" s="161"/>
      <c r="G51" s="161"/>
      <c r="H51" s="161"/>
      <c r="I51" s="161"/>
      <c r="J51" s="161"/>
      <c r="K51" s="161"/>
      <c r="L51" s="161"/>
      <c r="M51" s="161"/>
      <c r="N51" s="125"/>
      <c r="T51" s="98"/>
    </row>
    <row r="52" spans="2:20" ht="17" x14ac:dyDescent="0.4">
      <c r="B52" s="95"/>
      <c r="C52" s="604" t="s">
        <v>452</v>
      </c>
      <c r="D52" s="605"/>
      <c r="E52" s="605"/>
      <c r="F52" s="605"/>
      <c r="G52" s="605"/>
      <c r="H52" s="605"/>
      <c r="I52" s="605"/>
      <c r="J52" s="605"/>
      <c r="K52" s="605"/>
      <c r="L52" s="605"/>
      <c r="M52" s="606"/>
      <c r="N52" s="125"/>
      <c r="T52" s="98"/>
    </row>
    <row r="53" spans="2:20" ht="17" x14ac:dyDescent="0.4">
      <c r="B53" s="95"/>
      <c r="C53" s="607" t="str">
        <f>Validation!P2</f>
        <v>34. Provision of secure cycle parking on-street and off-street</v>
      </c>
      <c r="D53" s="608"/>
      <c r="E53" s="608"/>
      <c r="F53" s="608"/>
      <c r="G53" s="608"/>
      <c r="H53" s="608"/>
      <c r="I53" s="608"/>
      <c r="J53" s="608"/>
      <c r="K53" s="608"/>
      <c r="L53" s="608"/>
      <c r="M53" s="609"/>
      <c r="N53" s="125"/>
      <c r="T53" s="98"/>
    </row>
    <row r="54" spans="2:20" ht="17" x14ac:dyDescent="0.4">
      <c r="B54" s="95"/>
      <c r="C54" s="607" t="str">
        <f>Validation!P3</f>
        <v>35. Quantity/coverage, continuity and quality of green and blue infrastructure to support local nature recovery</v>
      </c>
      <c r="D54" s="608"/>
      <c r="E54" s="608"/>
      <c r="F54" s="608"/>
      <c r="G54" s="608"/>
      <c r="H54" s="608"/>
      <c r="I54" s="608"/>
      <c r="J54" s="608"/>
      <c r="K54" s="608"/>
      <c r="L54" s="608"/>
      <c r="M54" s="609"/>
      <c r="N54" s="125"/>
      <c r="T54" s="98"/>
    </row>
    <row r="55" spans="2:20" ht="17" x14ac:dyDescent="0.4">
      <c r="B55" s="95"/>
      <c r="C55" s="607" t="str">
        <f>Validation!P4</f>
        <v>36. Functionality of green and blue infrastructure in providing resilience to extreme weather events</v>
      </c>
      <c r="D55" s="608"/>
      <c r="E55" s="608"/>
      <c r="F55" s="608"/>
      <c r="G55" s="608"/>
      <c r="H55" s="608"/>
      <c r="I55" s="608"/>
      <c r="J55" s="608"/>
      <c r="K55" s="608"/>
      <c r="L55" s="608"/>
      <c r="M55" s="609"/>
      <c r="N55" s="125"/>
      <c r="T55" s="98"/>
    </row>
    <row r="56" spans="2:20" ht="17" x14ac:dyDescent="0.4">
      <c r="B56" s="95"/>
      <c r="C56" s="607" t="str">
        <f>Validation!P5</f>
        <v>47. Street design influences bus journey time and reliability</v>
      </c>
      <c r="D56" s="608"/>
      <c r="E56" s="608"/>
      <c r="F56" s="608"/>
      <c r="G56" s="608"/>
      <c r="H56" s="608"/>
      <c r="I56" s="608"/>
      <c r="J56" s="608"/>
      <c r="K56" s="608"/>
      <c r="L56" s="608"/>
      <c r="M56" s="609"/>
      <c r="N56" s="125"/>
      <c r="T56" s="98"/>
    </row>
    <row r="57" spans="2:20" ht="17" x14ac:dyDescent="0.4">
      <c r="B57" s="95"/>
      <c r="C57" s="607" t="str">
        <f>Validation!P6</f>
        <v>49. Waiting space, shelter and seating at bus stop</v>
      </c>
      <c r="D57" s="608"/>
      <c r="E57" s="608"/>
      <c r="F57" s="608"/>
      <c r="G57" s="608"/>
      <c r="H57" s="608"/>
      <c r="I57" s="608"/>
      <c r="J57" s="608"/>
      <c r="K57" s="608"/>
      <c r="L57" s="608"/>
      <c r="M57" s="609"/>
      <c r="N57" s="125"/>
      <c r="T57" s="98"/>
    </row>
    <row r="58" spans="2:20" ht="17" x14ac:dyDescent="0.4">
      <c r="B58" s="95"/>
      <c r="C58" s="607" t="str">
        <f>Validation!P7</f>
        <v>50. Customer information at bus stop</v>
      </c>
      <c r="D58" s="608"/>
      <c r="E58" s="608"/>
      <c r="F58" s="608"/>
      <c r="G58" s="608"/>
      <c r="H58" s="608"/>
      <c r="I58" s="608"/>
      <c r="J58" s="608"/>
      <c r="K58" s="608"/>
      <c r="L58" s="608"/>
      <c r="M58" s="609"/>
      <c r="N58" s="125"/>
      <c r="T58" s="98"/>
    </row>
    <row r="59" spans="2:20" ht="17" x14ac:dyDescent="0.4">
      <c r="B59" s="95"/>
      <c r="C59" s="607" t="str">
        <f>Validation!P8</f>
        <v>52. Bus priority measures - bus lanes, bus gates etc.</v>
      </c>
      <c r="D59" s="608"/>
      <c r="E59" s="608"/>
      <c r="F59" s="608"/>
      <c r="G59" s="608"/>
      <c r="H59" s="608"/>
      <c r="I59" s="608"/>
      <c r="J59" s="608"/>
      <c r="K59" s="608"/>
      <c r="L59" s="608"/>
      <c r="M59" s="609"/>
      <c r="N59" s="125"/>
      <c r="T59" s="98"/>
    </row>
    <row r="60" spans="2:20" ht="15" thickBot="1" x14ac:dyDescent="0.4">
      <c r="B60" s="126"/>
      <c r="C60" s="127"/>
      <c r="D60" s="127"/>
      <c r="E60" s="127"/>
      <c r="F60" s="127"/>
      <c r="G60" s="127"/>
      <c r="H60" s="127"/>
      <c r="I60" s="127"/>
      <c r="J60" s="127"/>
      <c r="K60" s="127"/>
      <c r="L60" s="127"/>
      <c r="M60" s="127"/>
      <c r="N60" s="127"/>
      <c r="O60" s="127"/>
      <c r="P60" s="127"/>
      <c r="Q60" s="127"/>
      <c r="R60" s="127"/>
      <c r="S60" s="127"/>
      <c r="T60" s="128"/>
    </row>
    <row r="61" spans="2:20" ht="8.15" customHeight="1" x14ac:dyDescent="0.35"/>
    <row r="62" spans="2:20" ht="9.65" hidden="1" customHeight="1" x14ac:dyDescent="0.35"/>
  </sheetData>
  <mergeCells count="116">
    <mergeCell ref="C5:C6"/>
    <mergeCell ref="E5:H5"/>
    <mergeCell ref="I5:M5"/>
    <mergeCell ref="O5:O6"/>
    <mergeCell ref="P5:Q5"/>
    <mergeCell ref="R5:S5"/>
    <mergeCell ref="E6:F6"/>
    <mergeCell ref="G6:H6"/>
    <mergeCell ref="I6:J6"/>
    <mergeCell ref="K6:M6"/>
    <mergeCell ref="P8:Q8"/>
    <mergeCell ref="R8:S8"/>
    <mergeCell ref="E9:F9"/>
    <mergeCell ref="G9:H9"/>
    <mergeCell ref="I9:J9"/>
    <mergeCell ref="K9:M9"/>
    <mergeCell ref="P9:Q9"/>
    <mergeCell ref="R9:S9"/>
    <mergeCell ref="E7:F7"/>
    <mergeCell ref="G7:H7"/>
    <mergeCell ref="I7:J7"/>
    <mergeCell ref="K7:M7"/>
    <mergeCell ref="E8:F8"/>
    <mergeCell ref="G8:H8"/>
    <mergeCell ref="I8:J8"/>
    <mergeCell ref="K8:M8"/>
    <mergeCell ref="E12:F12"/>
    <mergeCell ref="G12:H12"/>
    <mergeCell ref="I12:J12"/>
    <mergeCell ref="K12:M12"/>
    <mergeCell ref="E13:F13"/>
    <mergeCell ref="G13:H13"/>
    <mergeCell ref="I13:J13"/>
    <mergeCell ref="K13:M13"/>
    <mergeCell ref="E10:F10"/>
    <mergeCell ref="G10:H10"/>
    <mergeCell ref="I10:J10"/>
    <mergeCell ref="K10:M10"/>
    <mergeCell ref="E11:F11"/>
    <mergeCell ref="G11:H11"/>
    <mergeCell ref="I11:J11"/>
    <mergeCell ref="K11:M11"/>
    <mergeCell ref="C18:M18"/>
    <mergeCell ref="H19:I19"/>
    <mergeCell ref="K19:L19"/>
    <mergeCell ref="H20:I20"/>
    <mergeCell ref="K20:L20"/>
    <mergeCell ref="H21:I21"/>
    <mergeCell ref="K21:L21"/>
    <mergeCell ref="C15:C16"/>
    <mergeCell ref="E15:E16"/>
    <mergeCell ref="F15:J15"/>
    <mergeCell ref="K15:L16"/>
    <mergeCell ref="M15:M16"/>
    <mergeCell ref="H16:I16"/>
    <mergeCell ref="H25:I25"/>
    <mergeCell ref="K25:L25"/>
    <mergeCell ref="C26:M26"/>
    <mergeCell ref="H27:I27"/>
    <mergeCell ref="K27:L27"/>
    <mergeCell ref="H28:I28"/>
    <mergeCell ref="K28:L28"/>
    <mergeCell ref="H22:I22"/>
    <mergeCell ref="K22:L22"/>
    <mergeCell ref="H23:I23"/>
    <mergeCell ref="K23:L23"/>
    <mergeCell ref="H24:I24"/>
    <mergeCell ref="K24:L24"/>
    <mergeCell ref="H32:I32"/>
    <mergeCell ref="K32:L32"/>
    <mergeCell ref="H33:I33"/>
    <mergeCell ref="K33:L33"/>
    <mergeCell ref="C35:M35"/>
    <mergeCell ref="C36:E36"/>
    <mergeCell ref="F36:M36"/>
    <mergeCell ref="H29:I29"/>
    <mergeCell ref="K29:L29"/>
    <mergeCell ref="H30:I30"/>
    <mergeCell ref="K30:L30"/>
    <mergeCell ref="H31:I31"/>
    <mergeCell ref="K31:L31"/>
    <mergeCell ref="C40:E40"/>
    <mergeCell ref="F40:M40"/>
    <mergeCell ref="C41:E41"/>
    <mergeCell ref="F41:M41"/>
    <mergeCell ref="C42:E42"/>
    <mergeCell ref="F42:M42"/>
    <mergeCell ref="C37:E37"/>
    <mergeCell ref="F37:M37"/>
    <mergeCell ref="C38:E38"/>
    <mergeCell ref="F38:M38"/>
    <mergeCell ref="C39:E39"/>
    <mergeCell ref="F39:M39"/>
    <mergeCell ref="C46:E46"/>
    <mergeCell ref="F46:M46"/>
    <mergeCell ref="C47:E47"/>
    <mergeCell ref="F47:M47"/>
    <mergeCell ref="C48:E48"/>
    <mergeCell ref="F48:M48"/>
    <mergeCell ref="C43:E43"/>
    <mergeCell ref="F43:M43"/>
    <mergeCell ref="C44:E44"/>
    <mergeCell ref="F44:M44"/>
    <mergeCell ref="C45:E45"/>
    <mergeCell ref="F45:M45"/>
    <mergeCell ref="C55:M55"/>
    <mergeCell ref="C56:M56"/>
    <mergeCell ref="C57:M57"/>
    <mergeCell ref="C58:M58"/>
    <mergeCell ref="C59:M59"/>
    <mergeCell ref="C49:E49"/>
    <mergeCell ref="F49:M49"/>
    <mergeCell ref="F50:M50"/>
    <mergeCell ref="C52:M52"/>
    <mergeCell ref="C53:M53"/>
    <mergeCell ref="C54:M5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72" id="{9D8F869E-9847-40C5-94E4-7421127DB534}">
            <xm:f>INDEX(Scoring!S:S,MATCH(C36,Scoring!$BA:$BA,0))="A"</xm:f>
            <x14:dxf>
              <font>
                <b/>
                <i/>
                <color rgb="FFC00000"/>
              </font>
              <fill>
                <patternFill patternType="none">
                  <bgColor auto="1"/>
                </patternFill>
              </fill>
            </x14:dxf>
          </x14:cfRule>
          <xm:sqref>C36:C51</xm:sqref>
        </x14:conditionalFormatting>
        <x14:conditionalFormatting xmlns:xm="http://schemas.microsoft.com/office/excel/2006/main">
          <x14:cfRule type="expression" priority="1" id="{78D05A0B-6B36-4092-B8AE-810DC1BD37E8}">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73" id="{B3188730-9737-4D7C-A2F0-09FF2CC2FDFD}">
            <xm:f>INDEX(Scoring!S:S,MATCH(F36,Scoring!$BA:$BA,0))="A"</xm:f>
            <x14:dxf>
              <font>
                <b/>
                <i/>
                <color rgb="FFC00000"/>
              </font>
            </x14:dxf>
          </x14:cfRule>
          <xm:sqref>F36:F51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F8DFF-9159-4D89-8B02-FBA44EE848D1}">
  <sheetPr>
    <tabColor rgb="FFFFC000"/>
  </sheetPr>
  <dimension ref="A1:J78"/>
  <sheetViews>
    <sheetView zoomScale="90" zoomScaleNormal="90" workbookViewId="0">
      <selection activeCell="B72" sqref="B72"/>
    </sheetView>
  </sheetViews>
  <sheetFormatPr defaultColWidth="0" defaultRowHeight="14.5" zeroHeight="1" x14ac:dyDescent="0.35"/>
  <cols>
    <col min="1" max="1" width="3.81640625" style="2" customWidth="1"/>
    <col min="2" max="2" width="74" style="2" customWidth="1"/>
    <col min="3" max="9" width="17.54296875" customWidth="1"/>
    <col min="10" max="10" width="1.81640625" customWidth="1"/>
    <col min="11" max="16384" width="8.81640625" hidden="1"/>
  </cols>
  <sheetData>
    <row r="1" spans="1:10" ht="3" customHeight="1" x14ac:dyDescent="0.35">
      <c r="A1" s="641" t="s">
        <v>318</v>
      </c>
      <c r="B1" s="641"/>
      <c r="E1" s="6"/>
    </row>
    <row r="2" spans="1:10" s="7" customFormat="1" x14ac:dyDescent="0.35">
      <c r="A2" s="641"/>
      <c r="B2" s="641"/>
    </row>
    <row r="3" spans="1:10" x14ac:dyDescent="0.35">
      <c r="A3" s="641"/>
      <c r="B3" s="641"/>
      <c r="C3" s="645" t="s">
        <v>319</v>
      </c>
      <c r="D3" s="646"/>
      <c r="E3" s="646"/>
      <c r="F3" s="646"/>
      <c r="G3" s="646"/>
      <c r="H3" s="646"/>
      <c r="I3" s="647"/>
    </row>
    <row r="4" spans="1:10" ht="52" x14ac:dyDescent="0.35">
      <c r="A4" s="642" t="s">
        <v>320</v>
      </c>
      <c r="B4" s="643"/>
      <c r="C4" s="147" t="s">
        <v>21</v>
      </c>
      <c r="D4" s="148" t="s">
        <v>22</v>
      </c>
      <c r="E4" s="149" t="s">
        <v>23</v>
      </c>
      <c r="F4" s="150" t="s">
        <v>24</v>
      </c>
      <c r="G4" s="151" t="s">
        <v>25</v>
      </c>
      <c r="H4" s="152" t="s">
        <v>26</v>
      </c>
      <c r="I4" s="153" t="s">
        <v>27</v>
      </c>
    </row>
    <row r="5" spans="1:10" x14ac:dyDescent="0.35">
      <c r="A5" s="131"/>
      <c r="B5" s="638" t="s">
        <v>38</v>
      </c>
      <c r="C5" s="638"/>
      <c r="D5" s="638"/>
      <c r="E5" s="638"/>
      <c r="F5" s="638"/>
      <c r="G5" s="638"/>
      <c r="H5" s="638"/>
      <c r="I5" s="639"/>
    </row>
    <row r="6" spans="1:10" ht="15.5" x14ac:dyDescent="0.35">
      <c r="A6" s="132">
        <v>1</v>
      </c>
      <c r="B6" s="4" t="str">
        <f>INDEX(Scoring!$H:$H,MATCH('How the score is generated'!$A6,Scoring!$D:$D,0))</f>
        <v>Left/right hook collisions at junctions or side roads</v>
      </c>
      <c r="C6" s="8"/>
      <c r="D6" s="155" t="s">
        <v>321</v>
      </c>
      <c r="E6" s="156" t="s">
        <v>321</v>
      </c>
      <c r="F6" s="3"/>
      <c r="G6" s="3"/>
      <c r="H6" s="3"/>
      <c r="I6" s="133"/>
      <c r="J6" s="8"/>
    </row>
    <row r="7" spans="1:10" ht="15.5" x14ac:dyDescent="0.35">
      <c r="A7" s="134">
        <f>A6+1</f>
        <v>2</v>
      </c>
      <c r="B7" s="5" t="str">
        <f>INDEX(Scoring!$H:$H,MATCH('How the score is generated'!$A7,Scoring!$D:$D,0))</f>
        <v>Application of LTN 1/20 Junction Assessment Tool</v>
      </c>
      <c r="C7" s="8"/>
      <c r="D7" s="3"/>
      <c r="E7" s="156" t="s">
        <v>321</v>
      </c>
      <c r="F7" s="3"/>
      <c r="G7" s="3"/>
      <c r="H7" s="3"/>
      <c r="I7" s="133"/>
      <c r="J7" s="8"/>
    </row>
    <row r="8" spans="1:10" ht="15.5" x14ac:dyDescent="0.35">
      <c r="A8" s="132">
        <f>A7+1</f>
        <v>3</v>
      </c>
      <c r="B8" s="4" t="str">
        <f>INDEX(Scoring!$H:$H,MATCH('How the score is generated'!$A8,Scoring!$D:$D,0))</f>
        <v>Pedestrian and cycle continuity, priority, accessibility and legibility across side roads</v>
      </c>
      <c r="C8" s="8"/>
      <c r="D8" s="155" t="s">
        <v>321</v>
      </c>
      <c r="E8" s="156" t="s">
        <v>321</v>
      </c>
      <c r="F8" s="3"/>
      <c r="G8" s="3"/>
      <c r="H8" s="3"/>
      <c r="I8" s="133"/>
      <c r="J8" s="8"/>
    </row>
    <row r="9" spans="1:10" ht="15.5" x14ac:dyDescent="0.35">
      <c r="A9" s="134">
        <f>A8+1</f>
        <v>4</v>
      </c>
      <c r="B9" s="5" t="str">
        <f>INDEX(Scoring!$H:$H,MATCH('How the score is generated'!$A9,Scoring!$D:$D,0))</f>
        <v>Number of opportunities to cross in each signal cycle</v>
      </c>
      <c r="C9" s="8"/>
      <c r="D9" s="3"/>
      <c r="E9" s="156" t="s">
        <v>321</v>
      </c>
      <c r="F9" s="3"/>
      <c r="G9" s="3"/>
      <c r="H9" s="3"/>
      <c r="I9" s="133"/>
      <c r="J9" s="8"/>
    </row>
    <row r="10" spans="1:10" ht="26" x14ac:dyDescent="0.35">
      <c r="A10" s="132">
        <f>A9+1</f>
        <v>5</v>
      </c>
      <c r="B10" s="4" t="str">
        <f>INDEX(Scoring!$H:$H,MATCH('How the score is generated'!$A10,Scoring!$D:$D,0))</f>
        <v xml:space="preserve">Technology to optimise efficiency of movement (pedestrians, cyclists, buses and general motor traffic) </v>
      </c>
      <c r="C10" s="8"/>
      <c r="D10" s="155" t="s">
        <v>321</v>
      </c>
      <c r="E10" s="156" t="s">
        <v>321</v>
      </c>
      <c r="F10" s="205" t="s">
        <v>321</v>
      </c>
      <c r="G10" s="3"/>
      <c r="H10" s="3"/>
      <c r="I10" s="206" t="s">
        <v>321</v>
      </c>
      <c r="J10" s="8"/>
    </row>
    <row r="11" spans="1:10" x14ac:dyDescent="0.35">
      <c r="A11" s="135"/>
      <c r="B11" s="638" t="s">
        <v>54</v>
      </c>
      <c r="C11" s="638"/>
      <c r="D11" s="638"/>
      <c r="E11" s="638"/>
      <c r="F11" s="640"/>
      <c r="G11" s="638"/>
      <c r="H11" s="638"/>
      <c r="I11" s="644"/>
    </row>
    <row r="12" spans="1:10" ht="15.5" x14ac:dyDescent="0.35">
      <c r="A12" s="132">
        <f>A10+1</f>
        <v>6</v>
      </c>
      <c r="B12" s="4" t="str">
        <f>INDEX(Scoring!$H:$H,MATCH('How the score is generated'!$A12,Scoring!$D:$D,0))</f>
        <v>Distance between formal crossing points considering PCU's a day</v>
      </c>
      <c r="D12" s="155" t="s">
        <v>321</v>
      </c>
      <c r="E12" s="3"/>
      <c r="F12" s="3"/>
      <c r="G12" s="3"/>
      <c r="H12" s="3"/>
      <c r="I12" s="133"/>
    </row>
    <row r="13" spans="1:10" ht="15.5" x14ac:dyDescent="0.35">
      <c r="A13" s="134">
        <f>A12+1</f>
        <v>7</v>
      </c>
      <c r="B13" s="5" t="str">
        <f>INDEX(Scoring!$H:$H,MATCH('How the score is generated'!$A13,Scoring!$D:$D,0))</f>
        <v>Type of crossing facility appropriate for street context</v>
      </c>
      <c r="D13" s="155" t="s">
        <v>321</v>
      </c>
      <c r="E13" s="3"/>
      <c r="F13" s="3"/>
      <c r="G13" s="3"/>
      <c r="H13" s="3"/>
      <c r="I13" s="160" t="s">
        <v>321</v>
      </c>
    </row>
    <row r="14" spans="1:10" ht="15.5" x14ac:dyDescent="0.35">
      <c r="A14" s="132">
        <f>A13+1</f>
        <v>8</v>
      </c>
      <c r="B14" s="4" t="str">
        <f>INDEX(Scoring!$H:$H,MATCH('How the score is generated'!$A14,Scoring!$D:$D,0))</f>
        <v>Waiting time after pressing call button for green man to be displayed</v>
      </c>
      <c r="D14" s="155" t="s">
        <v>321</v>
      </c>
      <c r="E14" s="3"/>
      <c r="F14" s="3"/>
      <c r="G14" s="3"/>
      <c r="H14" s="3"/>
      <c r="I14" s="133"/>
    </row>
    <row r="15" spans="1:10" ht="15.5" x14ac:dyDescent="0.35">
      <c r="A15" s="134">
        <f>A14+1</f>
        <v>9</v>
      </c>
      <c r="B15" s="5" t="str">
        <f>INDEX(Scoring!$H:$H,MATCH('How the score is generated'!$A15,Scoring!$D:$D,0))</f>
        <v>Walking speed used in calculating pedestrian crossing clearance timings</v>
      </c>
      <c r="D15" s="155" t="s">
        <v>321</v>
      </c>
      <c r="E15" s="3"/>
      <c r="F15" s="3"/>
      <c r="G15" s="3"/>
      <c r="H15" s="3"/>
      <c r="I15" s="133"/>
    </row>
    <row r="16" spans="1:10" ht="15.5" x14ac:dyDescent="0.35">
      <c r="A16" s="132">
        <f>A15+1</f>
        <v>10</v>
      </c>
      <c r="B16" s="4" t="str">
        <f>INDEX(Scoring!$H:$H,MATCH('How the score is generated'!$A16,Scoring!$D:$D,0))</f>
        <v>Crossings on key pedestrian routes that create cross-street permeability and route continuity</v>
      </c>
      <c r="D16" s="155" t="s">
        <v>321</v>
      </c>
      <c r="E16" s="3"/>
      <c r="F16" s="3"/>
      <c r="G16" s="3"/>
      <c r="H16" s="3"/>
      <c r="I16" s="133"/>
    </row>
    <row r="17" spans="1:9" ht="15.5" x14ac:dyDescent="0.35">
      <c r="A17" s="134">
        <f>A16+1</f>
        <v>11</v>
      </c>
      <c r="B17" s="5" t="str">
        <f>INDEX(Scoring!$H:$H,MATCH('How the score is generated'!$A17,Scoring!$D:$D,0))</f>
        <v>Undulating footways and cycle tracks at vehicle crossovers.
Footway crossfalls.</v>
      </c>
      <c r="D17" s="155" t="s">
        <v>321</v>
      </c>
      <c r="E17" s="3"/>
      <c r="F17" s="3"/>
      <c r="G17" s="3"/>
      <c r="H17" s="3"/>
      <c r="I17" s="133"/>
    </row>
    <row r="18" spans="1:9" x14ac:dyDescent="0.35">
      <c r="A18" s="135"/>
      <c r="B18" s="638" t="s">
        <v>72</v>
      </c>
      <c r="C18" s="638"/>
      <c r="D18" s="638"/>
      <c r="E18" s="638"/>
      <c r="F18" s="638"/>
      <c r="G18" s="638"/>
      <c r="H18" s="638"/>
      <c r="I18" s="639"/>
    </row>
    <row r="19" spans="1:9" ht="15.65" customHeight="1" x14ac:dyDescent="0.35">
      <c r="A19" s="132">
        <f>A17+1</f>
        <v>12</v>
      </c>
      <c r="B19" s="4" t="str">
        <f>INDEX(Scoring!$H:$H,MATCH('How the score is generated'!$A19,Scoring!$D:$D,0))</f>
        <v>Clear pedestrian routes that maintain minimum unobstructed width throughout</v>
      </c>
      <c r="C19" s="3"/>
      <c r="D19" s="155" t="s">
        <v>321</v>
      </c>
      <c r="E19" s="3"/>
      <c r="F19" s="3"/>
      <c r="G19" s="3"/>
      <c r="H19" s="3"/>
      <c r="I19" s="133"/>
    </row>
    <row r="20" spans="1:9" ht="15.5" x14ac:dyDescent="0.35">
      <c r="A20" s="134">
        <f t="shared" ref="A20:A25" si="0">A19+1</f>
        <v>13</v>
      </c>
      <c r="B20" s="5" t="str">
        <f>INDEX(Scoring!$H:$H,MATCH('How the score is generated'!$A20,Scoring!$D:$D,0))</f>
        <v>Trip hazards and surface quality</v>
      </c>
      <c r="C20" s="3"/>
      <c r="D20" s="155" t="s">
        <v>321</v>
      </c>
      <c r="E20" s="156" t="s">
        <v>321</v>
      </c>
      <c r="F20" s="3"/>
      <c r="G20" s="3"/>
      <c r="H20" s="3"/>
      <c r="I20" s="133"/>
    </row>
    <row r="21" spans="1:9" ht="15.5" x14ac:dyDescent="0.35">
      <c r="A21" s="132">
        <f t="shared" si="0"/>
        <v>14</v>
      </c>
      <c r="B21" s="4" t="str">
        <f>INDEX(Scoring!$H:$H,MATCH('How the score is generated'!$A21,Scoring!$D:$D,0))</f>
        <v>Gradient over a specified distance</v>
      </c>
      <c r="C21" s="3"/>
      <c r="D21" s="155" t="s">
        <v>321</v>
      </c>
      <c r="E21" s="156" t="s">
        <v>321</v>
      </c>
      <c r="F21" s="3"/>
      <c r="G21" s="3"/>
      <c r="H21" s="3"/>
      <c r="I21" s="133"/>
    </row>
    <row r="22" spans="1:9" ht="15.5" x14ac:dyDescent="0.35">
      <c r="A22" s="134">
        <f t="shared" si="0"/>
        <v>15</v>
      </c>
      <c r="B22" s="5" t="str">
        <f>INDEX(Scoring!$H:$H,MATCH('How the score is generated'!$A22,Scoring!$D:$D,0))</f>
        <v>Legibility and tonal contrast of surfacing</v>
      </c>
      <c r="C22" s="154" t="s">
        <v>321</v>
      </c>
      <c r="D22" s="155" t="s">
        <v>321</v>
      </c>
      <c r="E22" s="3"/>
      <c r="F22" s="3"/>
      <c r="G22" s="3"/>
      <c r="H22" s="3"/>
      <c r="I22" s="133"/>
    </row>
    <row r="23" spans="1:9" ht="15.5" x14ac:dyDescent="0.35">
      <c r="A23" s="132">
        <f t="shared" si="0"/>
        <v>16</v>
      </c>
      <c r="B23" s="4" t="str">
        <f>INDEX(Scoring!$H:$H,MATCH('How the score is generated'!$A23,Scoring!$D:$D,0))</f>
        <v>Walking distance between resting points</v>
      </c>
      <c r="C23" s="154" t="s">
        <v>321</v>
      </c>
      <c r="D23" s="3"/>
      <c r="E23" s="3"/>
      <c r="F23" s="3"/>
      <c r="G23" s="3"/>
      <c r="H23" s="3"/>
      <c r="I23" s="133"/>
    </row>
    <row r="24" spans="1:9" ht="15.5" x14ac:dyDescent="0.35">
      <c r="A24" s="134">
        <f t="shared" si="0"/>
        <v>17</v>
      </c>
      <c r="B24" s="5" t="str">
        <f>INDEX(Scoring!$H:$H,MATCH('How the score is generated'!$A24,Scoring!$D:$D,0))</f>
        <v>Provision, quality and continuity of wayfinding</v>
      </c>
      <c r="C24" s="136"/>
      <c r="D24" s="155" t="s">
        <v>321</v>
      </c>
      <c r="E24" s="156" t="s">
        <v>321</v>
      </c>
      <c r="F24" s="3"/>
      <c r="G24" s="3"/>
      <c r="H24" s="3"/>
      <c r="I24" s="133"/>
    </row>
    <row r="25" spans="1:9" ht="15.5" x14ac:dyDescent="0.35">
      <c r="A25" s="134">
        <f t="shared" si="0"/>
        <v>18</v>
      </c>
      <c r="B25" s="5" t="str">
        <f>INDEX(Scoring!$H:$H,MATCH('How the score is generated'!$A25,Scoring!$D:$D,0))</f>
        <v>Appropriateness and width of shared use with cycles</v>
      </c>
      <c r="C25" s="3"/>
      <c r="D25" s="155" t="s">
        <v>321</v>
      </c>
      <c r="E25" s="156" t="s">
        <v>321</v>
      </c>
      <c r="F25" s="3"/>
      <c r="G25" s="3"/>
      <c r="H25" s="3"/>
      <c r="I25" s="133"/>
    </row>
    <row r="26" spans="1:9" x14ac:dyDescent="0.35">
      <c r="A26" s="135"/>
      <c r="B26" s="638" t="s">
        <v>887</v>
      </c>
      <c r="C26" s="638"/>
      <c r="D26" s="638"/>
      <c r="E26" s="638"/>
      <c r="F26" s="638"/>
      <c r="G26" s="638"/>
      <c r="H26" s="638"/>
      <c r="I26" s="639"/>
    </row>
    <row r="27" spans="1:9" ht="15.5" x14ac:dyDescent="0.35">
      <c r="A27" s="132">
        <f>A25+1</f>
        <v>19</v>
      </c>
      <c r="B27" s="4" t="str">
        <f>INDEX(Scoring!$H:$H,MATCH('How the score is generated'!$A27,Scoring!$D:$D,0))</f>
        <v>Speed at which drivers travel</v>
      </c>
      <c r="C27" s="3"/>
      <c r="D27" s="3"/>
      <c r="E27" s="156" t="s">
        <v>321</v>
      </c>
      <c r="F27" s="3"/>
      <c r="G27" s="3"/>
      <c r="H27" s="3"/>
      <c r="I27" s="133"/>
    </row>
    <row r="28" spans="1:9" ht="15.5" x14ac:dyDescent="0.35">
      <c r="A28" s="134">
        <f>A27+1</f>
        <v>20</v>
      </c>
      <c r="B28" s="5" t="str">
        <f>INDEX(Scoring!$H:$H,MATCH('How the score is generated'!$A28,Scoring!$D:$D,0))</f>
        <v>Total volume of traffic (PCU's)</v>
      </c>
      <c r="C28" s="3"/>
      <c r="D28" s="3"/>
      <c r="E28" s="156" t="s">
        <v>321</v>
      </c>
      <c r="F28" s="3"/>
      <c r="G28" s="3"/>
      <c r="H28" s="3"/>
      <c r="I28" s="133"/>
    </row>
    <row r="29" spans="1:9" ht="15.5" x14ac:dyDescent="0.35">
      <c r="A29" s="132">
        <f t="shared" ref="A29:A37" si="1">A28+1</f>
        <v>21</v>
      </c>
      <c r="B29" s="4" t="str">
        <f>INDEX(Scoring!$H:$H,MATCH('How the score is generated'!$A29,Scoring!$D:$D,0))</f>
        <v>Percentage of large vehicles in peak hour</v>
      </c>
      <c r="C29" s="3"/>
      <c r="D29" s="3"/>
      <c r="E29" s="156" t="s">
        <v>321</v>
      </c>
      <c r="F29" s="3"/>
      <c r="G29" s="3"/>
      <c r="H29" s="3"/>
      <c r="I29" s="133"/>
    </row>
    <row r="30" spans="1:9" ht="15.5" x14ac:dyDescent="0.35">
      <c r="A30" s="134">
        <f t="shared" si="1"/>
        <v>22</v>
      </c>
      <c r="B30" s="5" t="str">
        <f>INDEX(Scoring!$H:$H,MATCH('How the score is generated'!$A30,Scoring!$D:$D,0))</f>
        <v>Clear nearside space in secondary position or motor vehicle volume in primary position</v>
      </c>
      <c r="C30" s="3"/>
      <c r="D30" s="3"/>
      <c r="E30" s="156" t="s">
        <v>321</v>
      </c>
      <c r="F30" s="3"/>
      <c r="G30" s="3"/>
      <c r="H30" s="3"/>
      <c r="I30" s="133"/>
    </row>
    <row r="31" spans="1:9" ht="15.5" x14ac:dyDescent="0.35">
      <c r="A31" s="132">
        <f t="shared" si="1"/>
        <v>23</v>
      </c>
      <c r="B31" s="4" t="str">
        <f>INDEX(Scoring!$H:$H,MATCH('How the score is generated'!$A31,Scoring!$D:$D,0))</f>
        <v>Nearside lane width and configuration</v>
      </c>
      <c r="C31" s="3"/>
      <c r="D31" s="3"/>
      <c r="E31" s="156" t="s">
        <v>321</v>
      </c>
      <c r="F31" s="3"/>
      <c r="G31" s="3"/>
      <c r="H31" s="3"/>
      <c r="I31" s="133"/>
    </row>
    <row r="32" spans="1:9" ht="15.5" x14ac:dyDescent="0.35">
      <c r="A32" s="134">
        <f t="shared" si="1"/>
        <v>24</v>
      </c>
      <c r="B32" s="5" t="str">
        <f>INDEX(Scoring!$H:$H,MATCH('How the score is generated'!$A32,Scoring!$D:$D,0))</f>
        <v>Effect of kerbside activity on cyclists</v>
      </c>
      <c r="C32" s="3"/>
      <c r="D32" s="3"/>
      <c r="E32" s="156" t="s">
        <v>321</v>
      </c>
      <c r="F32" s="3"/>
      <c r="G32" s="3"/>
      <c r="H32" s="3"/>
      <c r="I32" s="133"/>
    </row>
    <row r="33" spans="1:9" ht="15.5" x14ac:dyDescent="0.35">
      <c r="A33" s="132">
        <f t="shared" si="1"/>
        <v>25</v>
      </c>
      <c r="B33" s="4" t="str">
        <f>INDEX(Scoring!$H:$H,MATCH('How the score is generated'!$A33,Scoring!$D:$D,0))</f>
        <v>Deviation of route end-end vs shortest road alternative</v>
      </c>
      <c r="C33" s="3"/>
      <c r="D33" s="3"/>
      <c r="E33" s="156" t="s">
        <v>321</v>
      </c>
      <c r="F33" s="3"/>
      <c r="G33" s="3"/>
      <c r="H33" s="3"/>
      <c r="I33" s="133"/>
    </row>
    <row r="34" spans="1:9" ht="15.5" x14ac:dyDescent="0.35">
      <c r="A34" s="134">
        <f t="shared" si="1"/>
        <v>26</v>
      </c>
      <c r="B34" s="5" t="str">
        <f>INDEX(Scoring!$H:$H,MATCH('How the score is generated'!$A34,Scoring!$D:$D,0))</f>
        <v>Cyclist's ability to pass other users</v>
      </c>
      <c r="C34" s="3"/>
      <c r="D34" s="3"/>
      <c r="E34" s="156" t="s">
        <v>321</v>
      </c>
      <c r="F34" s="3"/>
      <c r="G34" s="3"/>
      <c r="H34" s="3"/>
      <c r="I34" s="133"/>
    </row>
    <row r="35" spans="1:9" ht="15.5" x14ac:dyDescent="0.35">
      <c r="A35" s="132">
        <f>A34+1</f>
        <v>27</v>
      </c>
      <c r="B35" s="4" t="str">
        <f>INDEX(Scoring!$H:$H,MATCH('How the score is generated'!$A35,Scoring!$D:$D,0))</f>
        <v>Ability to join/leave route safely and easily</v>
      </c>
      <c r="C35" s="3"/>
      <c r="D35" s="3"/>
      <c r="E35" s="156" t="s">
        <v>321</v>
      </c>
      <c r="F35" s="3"/>
      <c r="G35" s="3"/>
      <c r="H35" s="3"/>
      <c r="I35" s="133"/>
    </row>
    <row r="36" spans="1:9" ht="15.5" x14ac:dyDescent="0.35">
      <c r="A36" s="134">
        <f t="shared" si="1"/>
        <v>28</v>
      </c>
      <c r="B36" s="5" t="str">
        <f>INDEX(Scoring!$H:$H,MATCH('How the score is generated'!$A36,Scoring!$D:$D,0))</f>
        <v>Surface condition and general maintenance</v>
      </c>
      <c r="C36" s="3"/>
      <c r="D36" s="3"/>
      <c r="E36" s="156" t="s">
        <v>321</v>
      </c>
      <c r="F36" s="3"/>
      <c r="G36" s="3"/>
      <c r="H36" s="3"/>
      <c r="I36" s="133"/>
    </row>
    <row r="37" spans="1:9" ht="15.5" x14ac:dyDescent="0.35">
      <c r="A37" s="132">
        <f t="shared" si="1"/>
        <v>29</v>
      </c>
      <c r="B37" s="4" t="str">
        <f>INDEX(Scoring!$H:$H,MATCH('How the score is generated'!$A37,Scoring!$D:$D,0))</f>
        <v>Surface type</v>
      </c>
      <c r="C37" s="3"/>
      <c r="D37" s="3"/>
      <c r="E37" s="156" t="s">
        <v>321</v>
      </c>
      <c r="F37" s="3"/>
      <c r="G37" s="3"/>
      <c r="H37" s="3"/>
      <c r="I37" s="133"/>
    </row>
    <row r="38" spans="1:9" x14ac:dyDescent="0.35">
      <c r="A38" s="135"/>
      <c r="B38" s="638" t="s">
        <v>888</v>
      </c>
      <c r="C38" s="638"/>
      <c r="D38" s="638"/>
      <c r="E38" s="638"/>
      <c r="F38" s="638"/>
      <c r="G38" s="638"/>
      <c r="H38" s="640"/>
      <c r="I38" s="639"/>
    </row>
    <row r="39" spans="1:9" ht="15.5" x14ac:dyDescent="0.35">
      <c r="A39" s="134">
        <f>A37+1</f>
        <v>30</v>
      </c>
      <c r="B39" s="5" t="str">
        <f>INDEX(Scoring!$H:$H,MATCH('How the score is generated'!$A39,Scoring!$D:$D,0))</f>
        <v>Consideration of loading and servicing provision</v>
      </c>
      <c r="C39" s="3"/>
      <c r="D39" s="3"/>
      <c r="E39" s="3"/>
      <c r="F39" s="3"/>
      <c r="G39" s="158" t="s">
        <v>321</v>
      </c>
      <c r="H39" s="3"/>
      <c r="I39" s="133"/>
    </row>
    <row r="40" spans="1:9" ht="15.5" x14ac:dyDescent="0.35">
      <c r="A40" s="132">
        <f>A39+1</f>
        <v>31</v>
      </c>
      <c r="B40" s="4" t="str">
        <f>INDEX(Scoring!$H:$H,MATCH('How the score is generated'!$A40,Scoring!$D:$D,0))</f>
        <v>Measures to reduce impact of through traffic in a street or area</v>
      </c>
      <c r="C40" s="3"/>
      <c r="D40" s="3"/>
      <c r="E40" s="3"/>
      <c r="F40" s="3"/>
      <c r="G40" s="3"/>
      <c r="H40" s="207" t="s">
        <v>321</v>
      </c>
      <c r="I40" s="133"/>
    </row>
    <row r="41" spans="1:9" ht="15.5" x14ac:dyDescent="0.35">
      <c r="A41" s="132">
        <f>A40+1</f>
        <v>32</v>
      </c>
      <c r="B41" s="4" t="str">
        <f>INDEX(Scoring!$H:$H,MATCH('How the score is generated'!$A41,Scoring!$D:$D,0))</f>
        <v>Street design and frontages</v>
      </c>
      <c r="C41" s="154" t="s">
        <v>321</v>
      </c>
      <c r="D41" s="155" t="s">
        <v>321</v>
      </c>
      <c r="E41" s="156" t="s">
        <v>321</v>
      </c>
      <c r="F41" s="3"/>
      <c r="G41" s="3"/>
      <c r="H41" s="3"/>
      <c r="I41" s="133"/>
    </row>
    <row r="42" spans="1:9" ht="15.5" x14ac:dyDescent="0.35">
      <c r="A42" s="134">
        <f t="shared" ref="A42:A49" si="2">A41+1</f>
        <v>33</v>
      </c>
      <c r="B42" s="5" t="str">
        <f>INDEX(Scoring!$H:$H,MATCH('How the score is generated'!$A42,Scoring!$D:$D,0))</f>
        <v>Uniformity and quality of street lighting and its impact on users</v>
      </c>
      <c r="C42" s="154" t="s">
        <v>321</v>
      </c>
      <c r="D42" s="155" t="s">
        <v>321</v>
      </c>
      <c r="E42" s="156" t="s">
        <v>321</v>
      </c>
      <c r="F42" s="3"/>
      <c r="G42" s="3"/>
      <c r="H42" s="3"/>
      <c r="I42" s="133"/>
    </row>
    <row r="43" spans="1:9" ht="15.5" x14ac:dyDescent="0.35">
      <c r="A43" s="132">
        <f t="shared" si="2"/>
        <v>34</v>
      </c>
      <c r="B43" s="4" t="str">
        <f>INDEX(Scoring!$H:$H,MATCH('How the score is generated'!$A43,Scoring!$D:$D,0))</f>
        <v>Provision of secure cycle parking on-street and off-street</v>
      </c>
      <c r="C43" s="3"/>
      <c r="D43" s="3"/>
      <c r="E43" s="156" t="s">
        <v>321</v>
      </c>
      <c r="F43" s="3"/>
      <c r="G43" s="3"/>
      <c r="H43" s="3"/>
      <c r="I43" s="133"/>
    </row>
    <row r="44" spans="1:9" ht="26" x14ac:dyDescent="0.35">
      <c r="A44" s="134">
        <f t="shared" si="2"/>
        <v>35</v>
      </c>
      <c r="B44" s="5" t="str">
        <f>INDEX(Scoring!$H:$H,MATCH('How the score is generated'!$A44,Scoring!$D:$D,0))</f>
        <v>Quantity/coverage, continuity and quality of green and blue infrastructure to support local nature recovery</v>
      </c>
      <c r="C44" s="154" t="s">
        <v>321</v>
      </c>
      <c r="D44" s="155" t="s">
        <v>321</v>
      </c>
      <c r="E44" s="3"/>
      <c r="F44" s="3"/>
      <c r="G44" s="3"/>
      <c r="H44" s="3"/>
      <c r="I44" s="160" t="s">
        <v>321</v>
      </c>
    </row>
    <row r="45" spans="1:9" ht="26" x14ac:dyDescent="0.35">
      <c r="A45" s="132">
        <f t="shared" si="2"/>
        <v>36</v>
      </c>
      <c r="B45" s="4" t="str">
        <f>INDEX(Scoring!$H:$H,MATCH('How the score is generated'!$A45,Scoring!$D:$D,0))</f>
        <v>Functionality of green and blue infrastructure in providing resilience to extreme weather events</v>
      </c>
      <c r="C45" s="154" t="s">
        <v>321</v>
      </c>
      <c r="D45" s="155" t="s">
        <v>321</v>
      </c>
      <c r="E45" s="3"/>
      <c r="F45" s="3"/>
      <c r="G45" s="3"/>
      <c r="H45" s="3"/>
      <c r="I45" s="160" t="s">
        <v>321</v>
      </c>
    </row>
    <row r="46" spans="1:9" ht="15.5" x14ac:dyDescent="0.35">
      <c r="A46" s="134">
        <f t="shared" si="2"/>
        <v>37</v>
      </c>
      <c r="B46" s="5" t="str">
        <f>INDEX(Scoring!$H:$H,MATCH('How the score is generated'!$A46,Scoring!$D:$D,0))</f>
        <v>Type of surfacing appropriate to context</v>
      </c>
      <c r="C46" s="154" t="s">
        <v>321</v>
      </c>
      <c r="D46" s="155" t="s">
        <v>321</v>
      </c>
      <c r="E46" s="3"/>
      <c r="F46" s="3"/>
      <c r="G46" s="3"/>
      <c r="H46" s="3"/>
      <c r="I46" s="133"/>
    </row>
    <row r="47" spans="1:9" ht="15.5" x14ac:dyDescent="0.35">
      <c r="A47" s="132">
        <f t="shared" si="2"/>
        <v>38</v>
      </c>
      <c r="B47" s="4" t="str">
        <f>INDEX(Scoring!$H:$H,MATCH('How the score is generated'!$A47,Scoring!$D:$D,0))</f>
        <v>Permeability and legibility for walking, wheeling and cycling</v>
      </c>
      <c r="C47" s="3"/>
      <c r="D47" s="155" t="s">
        <v>321</v>
      </c>
      <c r="E47" s="3"/>
      <c r="F47" s="3"/>
      <c r="G47" s="3"/>
      <c r="H47" s="3"/>
      <c r="I47" s="133"/>
    </row>
    <row r="48" spans="1:9" ht="15.5" x14ac:dyDescent="0.35">
      <c r="A48" s="134">
        <f t="shared" si="2"/>
        <v>39</v>
      </c>
      <c r="B48" s="5" t="str">
        <f>INDEX(Scoring!$H:$H,MATCH('How the score is generated'!$A48,Scoring!$D:$D,0))</f>
        <v>Surface water ponding impact on street users and uses</v>
      </c>
      <c r="C48" s="154" t="s">
        <v>321</v>
      </c>
      <c r="D48" s="155" t="s">
        <v>321</v>
      </c>
      <c r="E48" s="3"/>
      <c r="F48" s="3"/>
      <c r="G48" s="3"/>
      <c r="H48" s="3"/>
      <c r="I48" s="133"/>
    </row>
    <row r="49" spans="1:9" ht="15.5" x14ac:dyDescent="0.35">
      <c r="A49" s="132">
        <f t="shared" si="2"/>
        <v>40</v>
      </c>
      <c r="B49" s="4" t="str">
        <f>INDEX(Scoring!$H:$H,MATCH('How the score is generated'!$A49,Scoring!$D:$D,0))</f>
        <v>Clutter and street engagement</v>
      </c>
      <c r="C49" s="154" t="s">
        <v>321</v>
      </c>
      <c r="D49" s="3"/>
      <c r="E49" s="3"/>
      <c r="F49" s="3"/>
      <c r="G49" s="3"/>
      <c r="H49" s="3"/>
      <c r="I49" s="133"/>
    </row>
    <row r="50" spans="1:9" ht="15.5" x14ac:dyDescent="0.35">
      <c r="A50" s="134">
        <f>A49+1</f>
        <v>41</v>
      </c>
      <c r="B50" s="5" t="str">
        <f>INDEX(Scoring!$H:$H,MATCH('How the score is generated'!$A50,Scoring!$D:$D,0))</f>
        <v>Context sensitive approach to traffic management and traffic engineering</v>
      </c>
      <c r="C50" s="154" t="s">
        <v>321</v>
      </c>
      <c r="D50" s="155" t="s">
        <v>321</v>
      </c>
      <c r="E50" s="3"/>
      <c r="F50" s="3"/>
      <c r="G50" s="158" t="s">
        <v>321</v>
      </c>
      <c r="H50" s="3"/>
      <c r="I50" s="160" t="s">
        <v>321</v>
      </c>
    </row>
    <row r="51" spans="1:9" ht="15.5" x14ac:dyDescent="0.35">
      <c r="A51" s="132">
        <f>A50+1</f>
        <v>42</v>
      </c>
      <c r="B51" s="4" t="str">
        <f>INDEX(Scoring!$H:$H,MATCH('How the score is generated'!$A51,Scoring!$D:$D,0))</f>
        <v>Exposure to PM10 &amp; NOX  concentration</v>
      </c>
      <c r="C51" s="154" t="s">
        <v>321</v>
      </c>
      <c r="D51" s="3"/>
      <c r="E51" s="3"/>
      <c r="F51" s="3"/>
      <c r="G51" s="3"/>
      <c r="H51" s="159" t="s">
        <v>321</v>
      </c>
      <c r="I51" s="133"/>
    </row>
    <row r="52" spans="1:9" x14ac:dyDescent="0.35">
      <c r="A52" s="135"/>
      <c r="B52" s="638" t="s">
        <v>210</v>
      </c>
      <c r="C52" s="638"/>
      <c r="D52" s="638"/>
      <c r="E52" s="638"/>
      <c r="F52" s="638"/>
      <c r="G52" s="638"/>
      <c r="H52" s="638"/>
      <c r="I52" s="639"/>
    </row>
    <row r="53" spans="1:9" ht="15.5" x14ac:dyDescent="0.35">
      <c r="A53" s="137"/>
      <c r="B53" s="9" t="s">
        <v>209</v>
      </c>
      <c r="C53" s="10"/>
      <c r="D53" s="10"/>
      <c r="E53" s="10"/>
      <c r="F53" s="10"/>
      <c r="G53" s="10"/>
      <c r="H53" s="10"/>
      <c r="I53" s="138"/>
    </row>
    <row r="54" spans="1:9" ht="15.5" x14ac:dyDescent="0.35">
      <c r="A54" s="132">
        <f>A51+1</f>
        <v>43</v>
      </c>
      <c r="B54" s="4" t="str">
        <f>INDEX(Scoring!$H:$H,MATCH('How the score is generated'!$A54,Scoring!$D:$D,0))</f>
        <v>Cycle access to and cycle parking at public transport facility</v>
      </c>
      <c r="C54" s="3"/>
      <c r="D54" s="3"/>
      <c r="E54" s="156" t="s">
        <v>321</v>
      </c>
      <c r="F54" s="3"/>
      <c r="G54" s="3"/>
      <c r="H54" s="3"/>
      <c r="I54" s="133"/>
    </row>
    <row r="55" spans="1:9" ht="15.5" x14ac:dyDescent="0.35">
      <c r="A55" s="134">
        <f>A54+1</f>
        <v>44</v>
      </c>
      <c r="B55" s="5" t="str">
        <f>INDEX(Scoring!$H:$H,MATCH('How the score is generated'!$A55,Scoring!$D:$D,0))</f>
        <v>Street to platform/boarding point step free access</v>
      </c>
      <c r="C55" s="3"/>
      <c r="D55" s="155" t="s">
        <v>321</v>
      </c>
      <c r="E55" s="156" t="s">
        <v>321</v>
      </c>
      <c r="F55" s="157" t="s">
        <v>321</v>
      </c>
      <c r="G55" s="3"/>
      <c r="H55" s="3"/>
      <c r="I55" s="133"/>
    </row>
    <row r="56" spans="1:9" ht="15.5" x14ac:dyDescent="0.35">
      <c r="A56" s="132">
        <f>A55+1</f>
        <v>45</v>
      </c>
      <c r="B56" s="4" t="str">
        <f>INDEX(Scoring!$H:$H,MATCH('How the score is generated'!$A56,Scoring!$D:$D,0))</f>
        <v>Pedestrian crossing(s) and ease of access</v>
      </c>
      <c r="C56" s="3"/>
      <c r="D56" s="155" t="s">
        <v>321</v>
      </c>
      <c r="E56" s="3"/>
      <c r="F56" s="157" t="s">
        <v>321</v>
      </c>
      <c r="G56" s="3"/>
      <c r="H56" s="3"/>
      <c r="I56" s="133"/>
    </row>
    <row r="57" spans="1:9" ht="15.5" x14ac:dyDescent="0.35">
      <c r="A57" s="134">
        <f>A56+1</f>
        <v>46</v>
      </c>
      <c r="B57" s="5" t="str">
        <f>INDEX(Scoring!$H:$H,MATCH('How the score is generated'!$A57,Scoring!$D:$D,0))</f>
        <v>Bus stop proximity to other bus services</v>
      </c>
      <c r="C57" s="3"/>
      <c r="D57" s="3"/>
      <c r="E57" s="3"/>
      <c r="F57" s="157" t="s">
        <v>321</v>
      </c>
      <c r="G57" s="3"/>
      <c r="H57" s="3"/>
      <c r="I57" s="133"/>
    </row>
    <row r="58" spans="1:9" ht="15.5" x14ac:dyDescent="0.35">
      <c r="A58" s="137"/>
      <c r="B58" s="9" t="s">
        <v>231</v>
      </c>
      <c r="C58" s="10"/>
      <c r="D58" s="10"/>
      <c r="E58" s="10"/>
      <c r="F58" s="10"/>
      <c r="G58" s="10"/>
      <c r="H58" s="10"/>
      <c r="I58" s="138"/>
    </row>
    <row r="59" spans="1:9" ht="15.5" x14ac:dyDescent="0.35">
      <c r="A59" s="132">
        <f>A57+1</f>
        <v>47</v>
      </c>
      <c r="B59" s="4" t="str">
        <f>INDEX(Scoring!$H:$H,MATCH('How the score is generated'!$A59,Scoring!$D:$D,0))</f>
        <v>Street design influences bus journey time and reliability</v>
      </c>
      <c r="C59" s="3"/>
      <c r="D59" s="3"/>
      <c r="E59" s="3"/>
      <c r="F59" s="157" t="s">
        <v>321</v>
      </c>
      <c r="G59" s="3"/>
      <c r="H59" s="159" t="s">
        <v>321</v>
      </c>
      <c r="I59" s="133"/>
    </row>
    <row r="60" spans="1:9" ht="26" x14ac:dyDescent="0.35">
      <c r="A60" s="134">
        <f>A59+1</f>
        <v>48</v>
      </c>
      <c r="B60" s="5" t="str">
        <f>INDEX(Scoring!$H:$H,MATCH('How the score is generated'!$A60,Scoring!$D:$D,0))</f>
        <v>Degree to which bus stop zone is universally accessible for people using the stop and people passing by</v>
      </c>
      <c r="C60" s="3"/>
      <c r="D60" s="3"/>
      <c r="E60" s="3"/>
      <c r="F60" s="157" t="s">
        <v>321</v>
      </c>
      <c r="G60" s="3"/>
      <c r="H60" s="3"/>
      <c r="I60" s="133"/>
    </row>
    <row r="61" spans="1:9" ht="15.5" x14ac:dyDescent="0.35">
      <c r="A61" s="132">
        <f>A60+1</f>
        <v>49</v>
      </c>
      <c r="B61" s="4" t="str">
        <f>INDEX(Scoring!$H:$H,MATCH('How the score is generated'!$A61,Scoring!$D:$D,0))</f>
        <v>Waiting space, shelter and seating at bus stop</v>
      </c>
      <c r="C61" s="3"/>
      <c r="D61" s="3"/>
      <c r="E61" s="3"/>
      <c r="F61" s="157" t="s">
        <v>321</v>
      </c>
      <c r="G61" s="3"/>
      <c r="H61" s="3"/>
      <c r="I61" s="133"/>
    </row>
    <row r="62" spans="1:9" ht="15.5" x14ac:dyDescent="0.35">
      <c r="A62" s="134">
        <f>A61+1</f>
        <v>50</v>
      </c>
      <c r="B62" s="5" t="str">
        <f>INDEX(Scoring!$H:$H,MATCH('How the score is generated'!$A62,Scoring!$D:$D,0))</f>
        <v>Customer information at bus stop</v>
      </c>
      <c r="C62" s="3"/>
      <c r="D62" s="3"/>
      <c r="E62" s="3"/>
      <c r="F62" s="157" t="s">
        <v>321</v>
      </c>
      <c r="G62" s="3"/>
      <c r="H62" s="3"/>
      <c r="I62" s="133"/>
    </row>
    <row r="63" spans="1:9" ht="15.5" x14ac:dyDescent="0.35">
      <c r="A63" s="132">
        <f>A62+1</f>
        <v>51</v>
      </c>
      <c r="B63" s="4" t="str">
        <f>INDEX(Scoring!$H:$H,MATCH('How the score is generated'!$A63,Scoring!$D:$D,0))</f>
        <v>Perception of safety at stop</v>
      </c>
      <c r="C63" s="3"/>
      <c r="D63" s="3"/>
      <c r="E63" s="3"/>
      <c r="F63" s="157" t="s">
        <v>321</v>
      </c>
      <c r="G63" s="3"/>
      <c r="H63" s="3"/>
      <c r="I63" s="133"/>
    </row>
    <row r="64" spans="1:9" ht="15.5" x14ac:dyDescent="0.35">
      <c r="A64" s="134">
        <f>A63+1</f>
        <v>52</v>
      </c>
      <c r="B64" s="5" t="str">
        <f>INDEX(Scoring!$H:$H,MATCH('How the score is generated'!$A64,Scoring!$D:$D,0))</f>
        <v>Bus priority measures - bus lanes, bus gates etc.</v>
      </c>
      <c r="C64" s="3"/>
      <c r="D64" s="3"/>
      <c r="E64" s="3"/>
      <c r="F64" s="157" t="s">
        <v>321</v>
      </c>
      <c r="G64" s="3"/>
      <c r="H64" s="159" t="s">
        <v>321</v>
      </c>
      <c r="I64" s="133"/>
    </row>
    <row r="65" spans="1:9" ht="15.5" x14ac:dyDescent="0.35">
      <c r="A65" s="137"/>
      <c r="B65" s="9" t="s">
        <v>253</v>
      </c>
      <c r="C65" s="10"/>
      <c r="D65" s="10"/>
      <c r="E65" s="10"/>
      <c r="F65" s="10"/>
      <c r="G65" s="10"/>
      <c r="H65" s="10"/>
      <c r="I65" s="138"/>
    </row>
    <row r="66" spans="1:9" ht="15.5" x14ac:dyDescent="0.35">
      <c r="A66" s="132">
        <f>A64+1</f>
        <v>53</v>
      </c>
      <c r="B66" s="4" t="str">
        <f>INDEX(Scoring!$H:$H,MATCH('How the score is generated'!$A66,Scoring!$D:$D,0))</f>
        <v>Effective width next to a tramline on straight or curved section</v>
      </c>
      <c r="C66" s="3"/>
      <c r="D66" s="3"/>
      <c r="E66" s="156" t="s">
        <v>321</v>
      </c>
      <c r="F66" s="157" t="s">
        <v>321</v>
      </c>
      <c r="G66" s="3"/>
      <c r="H66" s="3"/>
      <c r="I66" s="133"/>
    </row>
    <row r="67" spans="1:9" ht="15.5" x14ac:dyDescent="0.35">
      <c r="A67" s="134">
        <f>A66+1</f>
        <v>54</v>
      </c>
      <c r="B67" s="5" t="str">
        <f>INDEX(Scoring!$H:$H,MATCH('How the score is generated'!$A67,Scoring!$D:$D,0))</f>
        <v>Crossing angle</v>
      </c>
      <c r="C67" s="3"/>
      <c r="D67" s="3"/>
      <c r="E67" s="156" t="s">
        <v>321</v>
      </c>
      <c r="F67" s="157" t="s">
        <v>321</v>
      </c>
      <c r="G67" s="3"/>
      <c r="H67" s="3"/>
      <c r="I67" s="133"/>
    </row>
    <row r="68" spans="1:9" x14ac:dyDescent="0.35">
      <c r="A68" s="135"/>
      <c r="B68" s="638" t="s">
        <v>322</v>
      </c>
      <c r="C68" s="638"/>
      <c r="D68" s="638"/>
      <c r="E68" s="638"/>
      <c r="F68" s="638"/>
      <c r="G68" s="638"/>
      <c r="H68" s="638"/>
      <c r="I68" s="639"/>
    </row>
    <row r="69" spans="1:9" ht="15.5" x14ac:dyDescent="0.35">
      <c r="A69" s="132">
        <f>A67+1</f>
        <v>55</v>
      </c>
      <c r="B69" s="4" t="str">
        <f>INDEX(Scoring!$H:$H,MATCH('How the score is generated'!$A69,Scoring!$D:$D,0))</f>
        <v>Width of shared use path</v>
      </c>
      <c r="C69" s="3"/>
      <c r="D69" s="155" t="s">
        <v>321</v>
      </c>
      <c r="E69" s="156" t="s">
        <v>321</v>
      </c>
      <c r="F69" s="3"/>
      <c r="G69" s="3"/>
      <c r="H69" s="3"/>
      <c r="I69" s="133"/>
    </row>
    <row r="70" spans="1:9" ht="15.5" x14ac:dyDescent="0.35">
      <c r="A70" s="134">
        <f>A69+1</f>
        <v>56</v>
      </c>
      <c r="B70" s="5" t="str">
        <f>INDEX(Scoring!$H:$H,MATCH('How the score is generated'!$A70,Scoring!$D:$D,0))</f>
        <v>Degree to which access controls are universally accessible</v>
      </c>
      <c r="C70" s="3"/>
      <c r="D70" s="155" t="s">
        <v>321</v>
      </c>
      <c r="E70" s="156" t="s">
        <v>321</v>
      </c>
      <c r="F70" s="3"/>
      <c r="G70" s="3"/>
      <c r="H70" s="3"/>
      <c r="I70" s="133"/>
    </row>
    <row r="71" spans="1:9" ht="15.5" x14ac:dyDescent="0.35">
      <c r="A71" s="132">
        <f>A70+1</f>
        <v>57</v>
      </c>
      <c r="B71" s="4" t="str">
        <f>INDEX(Scoring!$H:$H,MATCH('How the score is generated'!$A71,Scoring!$D:$D,0))</f>
        <v>Surface/construction type</v>
      </c>
      <c r="C71" s="3"/>
      <c r="D71" s="155" t="s">
        <v>321</v>
      </c>
      <c r="E71" s="156" t="s">
        <v>321</v>
      </c>
      <c r="F71" s="3"/>
      <c r="G71" s="3"/>
      <c r="H71" s="3"/>
      <c r="I71" s="133"/>
    </row>
    <row r="72" spans="1:9" ht="15.5" x14ac:dyDescent="0.35">
      <c r="A72" s="134">
        <f>A71+1</f>
        <v>58</v>
      </c>
      <c r="B72" s="5" t="str">
        <f>INDEX(Scoring!$H:$H,MATCH('How the score is generated'!$A72,Scoring!$D:$D,0))</f>
        <v>Standard of lighting</v>
      </c>
      <c r="C72" s="154" t="s">
        <v>321</v>
      </c>
      <c r="D72" s="155" t="s">
        <v>321</v>
      </c>
      <c r="E72" s="156" t="s">
        <v>321</v>
      </c>
      <c r="F72" s="3"/>
      <c r="G72" s="3"/>
      <c r="H72" s="3"/>
      <c r="I72" s="133"/>
    </row>
    <row r="73" spans="1:9" ht="15.5" x14ac:dyDescent="0.35">
      <c r="A73" s="132">
        <f>A72+1</f>
        <v>59</v>
      </c>
      <c r="B73" s="4" t="str">
        <f>INDEX(Scoring!$H:$H,MATCH('How the score is generated'!$A73,Scoring!$D:$D,0))</f>
        <v>Existing steps or new/upgraded structures</v>
      </c>
      <c r="C73" s="3"/>
      <c r="D73" s="155" t="s">
        <v>321</v>
      </c>
      <c r="E73" s="156" t="s">
        <v>321</v>
      </c>
      <c r="F73" s="3"/>
      <c r="G73" s="3"/>
      <c r="H73" s="3"/>
      <c r="I73" s="133"/>
    </row>
    <row r="74" spans="1:9" x14ac:dyDescent="0.35">
      <c r="A74" s="139"/>
      <c r="B74" s="140" t="s">
        <v>323</v>
      </c>
      <c r="C74" s="141">
        <f>COUNTIF(C6:C73,"ü")*2</f>
        <v>24</v>
      </c>
      <c r="D74" s="141">
        <f t="shared" ref="D74:I74" si="3">COUNTIF(D6:D73,"ü")*2</f>
        <v>60</v>
      </c>
      <c r="E74" s="141">
        <f t="shared" si="3"/>
        <v>64</v>
      </c>
      <c r="F74" s="141">
        <f t="shared" si="3"/>
        <v>24</v>
      </c>
      <c r="G74" s="141">
        <f t="shared" si="3"/>
        <v>4</v>
      </c>
      <c r="H74" s="141">
        <f t="shared" si="3"/>
        <v>8</v>
      </c>
      <c r="I74" s="142">
        <f t="shared" si="3"/>
        <v>10</v>
      </c>
    </row>
    <row r="75" spans="1:9" ht="14.5" customHeight="1" x14ac:dyDescent="0.35"/>
    <row r="76" spans="1:9" x14ac:dyDescent="0.35"/>
    <row r="77" spans="1:9" x14ac:dyDescent="0.35"/>
    <row r="78" spans="1:9" x14ac:dyDescent="0.35"/>
  </sheetData>
  <sheetProtection selectLockedCells="1"/>
  <mergeCells count="10">
    <mergeCell ref="B26:I26"/>
    <mergeCell ref="B38:I38"/>
    <mergeCell ref="B52:I52"/>
    <mergeCell ref="B68:I68"/>
    <mergeCell ref="A1:B3"/>
    <mergeCell ref="A4:B4"/>
    <mergeCell ref="B5:I5"/>
    <mergeCell ref="B11:I11"/>
    <mergeCell ref="B18:I18"/>
    <mergeCell ref="C3:I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952-14BD-4DA5-B707-5676AE09BE1F}">
  <sheetPr>
    <tabColor rgb="FFFF7D7D"/>
  </sheetPr>
  <dimension ref="A1:J74"/>
  <sheetViews>
    <sheetView topLeftCell="A23" zoomScale="80" zoomScaleNormal="80" workbookViewId="0">
      <selection activeCell="A47" sqref="A47:XFD47"/>
    </sheetView>
  </sheetViews>
  <sheetFormatPr defaultColWidth="0" defaultRowHeight="14.5" x14ac:dyDescent="0.35"/>
  <cols>
    <col min="1" max="1" width="3.81640625" style="2" customWidth="1"/>
    <col min="2" max="2" width="74" style="2" customWidth="1"/>
    <col min="3" max="8" width="17.54296875" customWidth="1"/>
    <col min="9" max="9" width="1.81640625" customWidth="1"/>
    <col min="10" max="10" width="0" hidden="1" customWidth="1"/>
    <col min="11" max="16384" width="8.81640625" hidden="1"/>
  </cols>
  <sheetData>
    <row r="1" spans="1:9" x14ac:dyDescent="0.35">
      <c r="A1" s="641" t="s">
        <v>715</v>
      </c>
      <c r="B1" s="641"/>
      <c r="E1" s="6"/>
    </row>
    <row r="2" spans="1:9" s="7" customFormat="1" x14ac:dyDescent="0.35">
      <c r="A2" s="641"/>
      <c r="B2" s="641"/>
    </row>
    <row r="3" spans="1:9" ht="14.5" customHeight="1" x14ac:dyDescent="0.35">
      <c r="A3" s="641"/>
      <c r="B3" s="641"/>
      <c r="C3" s="648" t="s">
        <v>724</v>
      </c>
      <c r="D3" s="649"/>
      <c r="E3" s="649"/>
      <c r="F3" s="649"/>
      <c r="G3" s="649"/>
      <c r="H3" s="649"/>
    </row>
    <row r="4" spans="1:9" ht="40.5" customHeight="1" x14ac:dyDescent="0.35">
      <c r="A4" s="642" t="s">
        <v>320</v>
      </c>
      <c r="B4" s="643"/>
      <c r="C4" s="350" t="s">
        <v>802</v>
      </c>
      <c r="D4" s="351" t="s">
        <v>12</v>
      </c>
      <c r="E4" s="352" t="s">
        <v>13</v>
      </c>
      <c r="F4" s="353" t="s">
        <v>675</v>
      </c>
      <c r="G4" s="354" t="s">
        <v>803</v>
      </c>
      <c r="H4" s="355" t="s">
        <v>726</v>
      </c>
    </row>
    <row r="5" spans="1:9" x14ac:dyDescent="0.35">
      <c r="A5" s="131"/>
      <c r="B5" s="638" t="s">
        <v>38</v>
      </c>
      <c r="C5" s="638"/>
      <c r="D5" s="638"/>
      <c r="E5" s="638"/>
      <c r="F5" s="638"/>
      <c r="G5" s="638"/>
      <c r="H5" s="638"/>
    </row>
    <row r="6" spans="1:9" ht="15.5" x14ac:dyDescent="0.35">
      <c r="A6" s="132">
        <v>1</v>
      </c>
      <c r="B6" s="4" t="str">
        <f>INDEX(Scoring!$H:$H,MATCH('How the score is generated (H)'!$A6,Scoring!$D:$D,0))</f>
        <v>Left/right hook collisions at junctions or side roads</v>
      </c>
      <c r="C6" s="154" t="s">
        <v>321</v>
      </c>
      <c r="D6" s="155" t="s">
        <v>321</v>
      </c>
      <c r="E6" s="156" t="s">
        <v>321</v>
      </c>
      <c r="F6" s="3"/>
      <c r="G6" s="158" t="s">
        <v>321</v>
      </c>
      <c r="H6" s="3"/>
      <c r="I6" s="8"/>
    </row>
    <row r="7" spans="1:9" ht="15.5" x14ac:dyDescent="0.35">
      <c r="A7" s="134">
        <f>A6+1</f>
        <v>2</v>
      </c>
      <c r="B7" s="5" t="str">
        <f>INDEX(Scoring!$H:$H,MATCH('How the score is generated (H)'!$A7,Scoring!$D:$D,0))</f>
        <v>Application of LTN 1/20 Junction Assessment Tool</v>
      </c>
      <c r="C7" s="154" t="s">
        <v>321</v>
      </c>
      <c r="D7" s="3"/>
      <c r="E7" s="156" t="s">
        <v>321</v>
      </c>
      <c r="F7" s="3"/>
      <c r="G7" s="3"/>
      <c r="H7" s="3"/>
      <c r="I7" s="8"/>
    </row>
    <row r="8" spans="1:9" ht="15.5" x14ac:dyDescent="0.35">
      <c r="A8" s="132">
        <f>A7+1</f>
        <v>3</v>
      </c>
      <c r="B8" s="4" t="str">
        <f>INDEX(Scoring!$H:$H,MATCH('How the score is generated (H)'!$A8,Scoring!$D:$D,0))</f>
        <v>Pedestrian and cycle continuity, priority, accessibility and legibility across side roads</v>
      </c>
      <c r="C8" s="154" t="s">
        <v>321</v>
      </c>
      <c r="D8" s="155" t="s">
        <v>321</v>
      </c>
      <c r="E8" s="156" t="s">
        <v>321</v>
      </c>
      <c r="F8" s="3"/>
      <c r="G8" s="158" t="s">
        <v>321</v>
      </c>
      <c r="H8" s="3"/>
      <c r="I8" s="8"/>
    </row>
    <row r="9" spans="1:9" ht="15.5" x14ac:dyDescent="0.35">
      <c r="A9" s="134">
        <f>A8+1</f>
        <v>4</v>
      </c>
      <c r="B9" s="5" t="str">
        <f>INDEX(Scoring!$H:$H,MATCH('How the score is generated (H)'!$A9,Scoring!$D:$D,0))</f>
        <v>Number of opportunities to cross in each signal cycle</v>
      </c>
      <c r="C9" s="154" t="s">
        <v>321</v>
      </c>
      <c r="D9" s="155" t="s">
        <v>321</v>
      </c>
      <c r="E9" s="156" t="s">
        <v>321</v>
      </c>
      <c r="F9" s="3"/>
      <c r="G9" s="158" t="s">
        <v>321</v>
      </c>
      <c r="H9" s="3"/>
      <c r="I9" s="8"/>
    </row>
    <row r="10" spans="1:9" ht="26" x14ac:dyDescent="0.35">
      <c r="A10" s="132">
        <f>A9+1</f>
        <v>5</v>
      </c>
      <c r="B10" s="4" t="str">
        <f>INDEX(Scoring!$H:$H,MATCH('How the score is generated (H)'!$A10,Scoring!$D:$D,0))</f>
        <v xml:space="preserve">Technology to optimise efficiency of movement (pedestrians, cyclists, buses and general motor traffic) </v>
      </c>
      <c r="C10" s="154" t="s">
        <v>321</v>
      </c>
      <c r="D10" s="155" t="s">
        <v>321</v>
      </c>
      <c r="E10" s="156" t="s">
        <v>321</v>
      </c>
      <c r="F10" s="324"/>
      <c r="G10" s="3"/>
      <c r="H10" s="3"/>
      <c r="I10" s="8"/>
    </row>
    <row r="11" spans="1:9" x14ac:dyDescent="0.35">
      <c r="A11" s="135"/>
      <c r="B11" s="638" t="s">
        <v>54</v>
      </c>
      <c r="C11" s="638"/>
      <c r="D11" s="638"/>
      <c r="E11" s="638"/>
      <c r="F11" s="640"/>
      <c r="G11" s="638"/>
      <c r="H11" s="638"/>
    </row>
    <row r="12" spans="1:9" ht="15.5" x14ac:dyDescent="0.35">
      <c r="A12" s="132">
        <f>A10+1</f>
        <v>6</v>
      </c>
      <c r="B12" s="4" t="str">
        <f>INDEX(Scoring!$H:$H,MATCH('How the score is generated (H)'!$A12,Scoring!$D:$D,0))</f>
        <v>Distance between formal crossing points considering PCU's a day</v>
      </c>
      <c r="C12" s="154" t="s">
        <v>321</v>
      </c>
      <c r="D12" s="155" t="s">
        <v>321</v>
      </c>
      <c r="E12" s="156" t="s">
        <v>321</v>
      </c>
      <c r="F12" s="3"/>
      <c r="G12" s="3"/>
      <c r="H12" s="3"/>
    </row>
    <row r="13" spans="1:9" ht="15.5" x14ac:dyDescent="0.35">
      <c r="A13" s="134">
        <f>A12+1</f>
        <v>7</v>
      </c>
      <c r="B13" s="5" t="str">
        <f>INDEX(Scoring!$H:$H,MATCH('How the score is generated (H)'!$A13,Scoring!$D:$D,0))</f>
        <v>Type of crossing facility appropriate for street context</v>
      </c>
      <c r="C13" s="154" t="s">
        <v>321</v>
      </c>
      <c r="D13" s="155" t="s">
        <v>321</v>
      </c>
      <c r="E13" s="3"/>
      <c r="F13" s="3"/>
      <c r="G13" s="3"/>
      <c r="H13" s="3"/>
    </row>
    <row r="14" spans="1:9" ht="15.5" x14ac:dyDescent="0.35">
      <c r="A14" s="132">
        <f>A13+1</f>
        <v>8</v>
      </c>
      <c r="B14" s="4" t="str">
        <f>INDEX(Scoring!$H:$H,MATCH('How the score is generated (H)'!$A14,Scoring!$D:$D,0))</f>
        <v>Waiting time after pressing call button for green man to be displayed</v>
      </c>
      <c r="C14" s="154" t="s">
        <v>321</v>
      </c>
      <c r="D14" s="155" t="s">
        <v>321</v>
      </c>
      <c r="E14" s="3"/>
      <c r="F14" s="3"/>
      <c r="G14" s="3"/>
      <c r="H14" s="3"/>
    </row>
    <row r="15" spans="1:9" ht="15.5" x14ac:dyDescent="0.35">
      <c r="A15" s="134">
        <f>A14+1</f>
        <v>9</v>
      </c>
      <c r="B15" s="5" t="str">
        <f>INDEX(Scoring!$H:$H,MATCH('How the score is generated (H)'!$A15,Scoring!$D:$D,0))</f>
        <v>Walking speed used in calculating pedestrian crossing clearance timings</v>
      </c>
      <c r="C15" s="154" t="s">
        <v>321</v>
      </c>
      <c r="D15" s="155" t="s">
        <v>321</v>
      </c>
      <c r="E15" s="3"/>
      <c r="F15" s="3"/>
      <c r="G15" s="158" t="s">
        <v>321</v>
      </c>
      <c r="H15" s="3"/>
    </row>
    <row r="16" spans="1:9" ht="15.5" x14ac:dyDescent="0.35">
      <c r="A16" s="132">
        <f>A15+1</f>
        <v>10</v>
      </c>
      <c r="B16" s="4" t="str">
        <f>INDEX(Scoring!$H:$H,MATCH('How the score is generated (H)'!$A16,Scoring!$D:$D,0))</f>
        <v>Crossings on key pedestrian routes that create cross-street permeability and route continuity</v>
      </c>
      <c r="C16" s="154" t="s">
        <v>321</v>
      </c>
      <c r="D16" s="155" t="s">
        <v>321</v>
      </c>
      <c r="E16" s="3"/>
      <c r="F16" s="3"/>
      <c r="G16" s="3"/>
      <c r="H16" s="3"/>
    </row>
    <row r="17" spans="1:8" ht="15.5" x14ac:dyDescent="0.35">
      <c r="A17" s="134">
        <f>A16+1</f>
        <v>11</v>
      </c>
      <c r="B17" s="5" t="str">
        <f>INDEX(Scoring!$H:$H,MATCH('How the score is generated (H)'!$A17,Scoring!$D:$D,0))</f>
        <v>Undulating footways and cycle tracks at vehicle crossovers.
Footway crossfalls.</v>
      </c>
      <c r="C17" s="154" t="s">
        <v>321</v>
      </c>
      <c r="D17" s="155" t="s">
        <v>321</v>
      </c>
      <c r="E17" s="3"/>
      <c r="F17" s="3"/>
      <c r="G17" s="158" t="s">
        <v>321</v>
      </c>
      <c r="H17" s="3"/>
    </row>
    <row r="18" spans="1:8" x14ac:dyDescent="0.35">
      <c r="A18" s="135"/>
      <c r="B18" s="638" t="s">
        <v>72</v>
      </c>
      <c r="C18" s="638"/>
      <c r="D18" s="638"/>
      <c r="E18" s="638"/>
      <c r="F18" s="638"/>
      <c r="G18" s="638"/>
      <c r="H18" s="638"/>
    </row>
    <row r="19" spans="1:8" ht="15.5" x14ac:dyDescent="0.35">
      <c r="A19" s="132">
        <f>A17+1</f>
        <v>12</v>
      </c>
      <c r="B19" s="4" t="str">
        <f>INDEX(Scoring!$H:$H,MATCH('How the score is generated (H)'!$A19,Scoring!$D:$D,0))</f>
        <v>Clear pedestrian routes that maintain minimum unobstructed width throughout</v>
      </c>
      <c r="C19" s="154" t="s">
        <v>321</v>
      </c>
      <c r="D19" s="155" t="s">
        <v>321</v>
      </c>
      <c r="E19" s="3"/>
      <c r="F19" s="3"/>
      <c r="G19" s="158" t="s">
        <v>321</v>
      </c>
      <c r="H19" s="331"/>
    </row>
    <row r="20" spans="1:8" ht="15.5" x14ac:dyDescent="0.35">
      <c r="A20" s="134">
        <f t="shared" ref="A20:A25" si="0">A19+1</f>
        <v>13</v>
      </c>
      <c r="B20" s="5" t="str">
        <f>INDEX(Scoring!$H:$H,MATCH('How the score is generated (H)'!$A20,Scoring!$D:$D,0))</f>
        <v>Trip hazards and surface quality</v>
      </c>
      <c r="C20" s="154" t="s">
        <v>321</v>
      </c>
      <c r="D20" s="155" t="s">
        <v>321</v>
      </c>
      <c r="E20" s="3"/>
      <c r="F20" s="3"/>
      <c r="G20" s="158" t="s">
        <v>321</v>
      </c>
      <c r="H20" s="331"/>
    </row>
    <row r="21" spans="1:8" ht="15.5" x14ac:dyDescent="0.35">
      <c r="A21" s="132">
        <f t="shared" si="0"/>
        <v>14</v>
      </c>
      <c r="B21" s="4" t="str">
        <f>INDEX(Scoring!$H:$H,MATCH('How the score is generated (H)'!$A21,Scoring!$D:$D,0))</f>
        <v>Gradient over a specified distance</v>
      </c>
      <c r="C21" s="3"/>
      <c r="D21" s="155" t="s">
        <v>321</v>
      </c>
      <c r="E21" s="156" t="s">
        <v>321</v>
      </c>
      <c r="F21" s="3"/>
      <c r="G21" s="158" t="s">
        <v>321</v>
      </c>
      <c r="H21" s="3"/>
    </row>
    <row r="22" spans="1:8" ht="15.5" x14ac:dyDescent="0.35">
      <c r="A22" s="134">
        <f t="shared" si="0"/>
        <v>15</v>
      </c>
      <c r="B22" s="5" t="str">
        <f>INDEX(Scoring!$H:$H,MATCH('How the score is generated (H)'!$A22,Scoring!$D:$D,0))</f>
        <v>Legibility and tonal contrast of surfacing</v>
      </c>
      <c r="C22" s="322"/>
      <c r="D22" s="155" t="s">
        <v>321</v>
      </c>
      <c r="E22" s="3"/>
      <c r="F22" s="3"/>
      <c r="G22" s="158" t="s">
        <v>321</v>
      </c>
      <c r="H22" s="3"/>
    </row>
    <row r="23" spans="1:8" ht="15.5" x14ac:dyDescent="0.35">
      <c r="A23" s="132">
        <f t="shared" si="0"/>
        <v>16</v>
      </c>
      <c r="B23" s="4" t="str">
        <f>INDEX(Scoring!$H:$H,MATCH('How the score is generated (H)'!$A23,Scoring!$D:$D,0))</f>
        <v>Walking distance between resting points</v>
      </c>
      <c r="C23" s="154" t="s">
        <v>321</v>
      </c>
      <c r="D23" s="155" t="s">
        <v>321</v>
      </c>
      <c r="E23" s="3"/>
      <c r="F23" s="3"/>
      <c r="G23" s="158" t="s">
        <v>321</v>
      </c>
      <c r="H23" s="3"/>
    </row>
    <row r="24" spans="1:8" ht="15.5" x14ac:dyDescent="0.35">
      <c r="A24" s="134">
        <f t="shared" si="0"/>
        <v>17</v>
      </c>
      <c r="B24" s="5" t="str">
        <f>INDEX(Scoring!$H:$H,MATCH('How the score is generated (H)'!$A24,Scoring!$D:$D,0))</f>
        <v>Provision, quality and continuity of wayfinding</v>
      </c>
      <c r="C24" s="136"/>
      <c r="D24" s="155" t="s">
        <v>321</v>
      </c>
      <c r="E24" s="156" t="s">
        <v>321</v>
      </c>
      <c r="F24" s="3"/>
      <c r="G24" s="158" t="s">
        <v>321</v>
      </c>
      <c r="H24" s="3"/>
    </row>
    <row r="25" spans="1:8" ht="15.5" x14ac:dyDescent="0.35">
      <c r="A25" s="132">
        <f t="shared" si="0"/>
        <v>18</v>
      </c>
      <c r="B25" s="4" t="str">
        <f>INDEX(Scoring!$H:$H,MATCH('How the score is generated (H)'!$A25,Scoring!$D:$D,0))</f>
        <v>Appropriateness and width of shared use with cycles</v>
      </c>
      <c r="C25" s="154" t="s">
        <v>321</v>
      </c>
      <c r="D25" s="155" t="s">
        <v>321</v>
      </c>
      <c r="E25" s="156" t="s">
        <v>321</v>
      </c>
      <c r="F25" s="3"/>
      <c r="G25" s="158" t="s">
        <v>321</v>
      </c>
      <c r="H25" s="3"/>
    </row>
    <row r="26" spans="1:8" x14ac:dyDescent="0.35">
      <c r="A26" s="135"/>
      <c r="B26" s="638" t="s">
        <v>887</v>
      </c>
      <c r="C26" s="638"/>
      <c r="D26" s="638"/>
      <c r="E26" s="638"/>
      <c r="F26" s="638"/>
      <c r="G26" s="638"/>
      <c r="H26" s="638"/>
    </row>
    <row r="27" spans="1:8" ht="15.5" x14ac:dyDescent="0.35">
      <c r="A27" s="132">
        <f>A25+1</f>
        <v>19</v>
      </c>
      <c r="B27" s="4" t="str">
        <f>INDEX(Scoring!$H:$H,MATCH('How the score is generated (H)'!$A27,Scoring!$D:$D,0))</f>
        <v>Speed at which drivers travel</v>
      </c>
      <c r="C27" s="329"/>
      <c r="D27" s="3"/>
      <c r="E27" s="156" t="s">
        <v>321</v>
      </c>
      <c r="F27" s="3"/>
      <c r="G27" s="3"/>
      <c r="H27" s="159" t="s">
        <v>321</v>
      </c>
    </row>
    <row r="28" spans="1:8" ht="15.5" x14ac:dyDescent="0.35">
      <c r="A28" s="134">
        <f>A27+1</f>
        <v>20</v>
      </c>
      <c r="B28" s="5" t="str">
        <f>INDEX(Scoring!$H:$H,MATCH('How the score is generated (H)'!$A28,Scoring!$D:$D,0))</f>
        <v>Total volume of traffic (PCU's)</v>
      </c>
      <c r="C28" s="329"/>
      <c r="D28" s="3"/>
      <c r="E28" s="156" t="s">
        <v>321</v>
      </c>
      <c r="F28" s="3"/>
      <c r="G28" s="3"/>
      <c r="H28" s="159" t="s">
        <v>321</v>
      </c>
    </row>
    <row r="29" spans="1:8" ht="15.5" x14ac:dyDescent="0.35">
      <c r="A29" s="132">
        <f t="shared" ref="A29:A39" si="1">A28+1</f>
        <v>21</v>
      </c>
      <c r="B29" s="4" t="str">
        <f>INDEX(Scoring!$H:$H,MATCH('How the score is generated (H)'!$A29,Scoring!$D:$D,0))</f>
        <v>Percentage of large vehicles in peak hour</v>
      </c>
      <c r="C29" s="329"/>
      <c r="D29" s="3"/>
      <c r="E29" s="156" t="s">
        <v>321</v>
      </c>
      <c r="F29" s="3"/>
      <c r="G29" s="3"/>
      <c r="H29" s="159" t="s">
        <v>321</v>
      </c>
    </row>
    <row r="30" spans="1:8" ht="15.5" x14ac:dyDescent="0.35">
      <c r="A30" s="134">
        <f t="shared" si="1"/>
        <v>22</v>
      </c>
      <c r="B30" s="5" t="str">
        <f>INDEX(Scoring!$H:$H,MATCH('How the score is generated (H)'!$A30,Scoring!$D:$D,0))</f>
        <v>Clear nearside space in secondary position or motor vehicle volume in primary position</v>
      </c>
      <c r="C30" s="329"/>
      <c r="D30" s="3"/>
      <c r="E30" s="156" t="s">
        <v>321</v>
      </c>
      <c r="F30" s="3"/>
      <c r="G30" s="3"/>
      <c r="H30" s="3"/>
    </row>
    <row r="31" spans="1:8" ht="15.5" x14ac:dyDescent="0.35">
      <c r="A31" s="132">
        <f t="shared" si="1"/>
        <v>23</v>
      </c>
      <c r="B31" s="4" t="str">
        <f>INDEX(Scoring!$H:$H,MATCH('How the score is generated (H)'!$A31,Scoring!$D:$D,0))</f>
        <v>Nearside lane width and configuration</v>
      </c>
      <c r="C31" s="329"/>
      <c r="D31" s="3"/>
      <c r="E31" s="156" t="s">
        <v>321</v>
      </c>
      <c r="F31" s="3"/>
      <c r="G31" s="3"/>
      <c r="H31" s="3"/>
    </row>
    <row r="32" spans="1:8" ht="15.5" x14ac:dyDescent="0.35">
      <c r="A32" s="134">
        <f t="shared" si="1"/>
        <v>24</v>
      </c>
      <c r="B32" s="5" t="str">
        <f>INDEX(Scoring!$H:$H,MATCH('How the score is generated (H)'!$A32,Scoring!$D:$D,0))</f>
        <v>Effect of kerbside activity on cyclists</v>
      </c>
      <c r="C32" s="329"/>
      <c r="D32" s="3"/>
      <c r="E32" s="156" t="s">
        <v>321</v>
      </c>
      <c r="F32" s="3"/>
      <c r="G32" s="3"/>
      <c r="H32" s="3"/>
    </row>
    <row r="33" spans="1:8" ht="15.5" x14ac:dyDescent="0.35">
      <c r="A33" s="132">
        <f t="shared" si="1"/>
        <v>25</v>
      </c>
      <c r="B33" s="4" t="str">
        <f>INDEX(Scoring!$H:$H,MATCH('How the score is generated (H)'!$A33,Scoring!$D:$D,0))</f>
        <v>Deviation of route end-end vs shortest road alternative</v>
      </c>
      <c r="C33" s="332"/>
      <c r="D33" s="3"/>
      <c r="E33" s="156" t="s">
        <v>321</v>
      </c>
      <c r="F33" s="3"/>
      <c r="G33" s="3"/>
      <c r="H33" s="3"/>
    </row>
    <row r="34" spans="1:8" ht="15.5" x14ac:dyDescent="0.35">
      <c r="A34" s="134">
        <f t="shared" si="1"/>
        <v>26</v>
      </c>
      <c r="B34" s="5" t="str">
        <f>INDEX(Scoring!$H:$H,MATCH('How the score is generated (H)'!$A34,Scoring!$D:$D,0))</f>
        <v>Cyclist's ability to pass other users</v>
      </c>
      <c r="C34" s="332"/>
      <c r="D34" s="3"/>
      <c r="E34" s="156" t="s">
        <v>321</v>
      </c>
      <c r="F34" s="3"/>
      <c r="G34" s="3"/>
      <c r="H34" s="3"/>
    </row>
    <row r="35" spans="1:8" ht="15.5" x14ac:dyDescent="0.35">
      <c r="A35" s="132">
        <f>A34+1</f>
        <v>27</v>
      </c>
      <c r="B35" s="4" t="str">
        <f>INDEX(Scoring!$H:$H,MATCH('How the score is generated (H)'!$A35,Scoring!$D:$D,0))</f>
        <v>Ability to join/leave route safely and easily</v>
      </c>
      <c r="C35" s="332"/>
      <c r="D35" s="3"/>
      <c r="E35" s="156" t="s">
        <v>321</v>
      </c>
      <c r="F35" s="3"/>
      <c r="G35" s="3"/>
      <c r="H35" s="3"/>
    </row>
    <row r="36" spans="1:8" ht="15.5" x14ac:dyDescent="0.35">
      <c r="A36" s="134">
        <f t="shared" si="1"/>
        <v>28</v>
      </c>
      <c r="B36" s="5" t="str">
        <f>INDEX(Scoring!$H:$H,MATCH('How the score is generated (H)'!$A36,Scoring!$D:$D,0))</f>
        <v>Surface condition and general maintenance</v>
      </c>
      <c r="C36" s="329"/>
      <c r="D36" s="3"/>
      <c r="E36" s="156" t="s">
        <v>321</v>
      </c>
      <c r="F36" s="3"/>
      <c r="G36" s="3"/>
      <c r="H36" s="3"/>
    </row>
    <row r="37" spans="1:8" ht="15.5" x14ac:dyDescent="0.35">
      <c r="A37" s="132">
        <f t="shared" si="1"/>
        <v>29</v>
      </c>
      <c r="B37" s="4" t="str">
        <f>INDEX(Scoring!$H:$H,MATCH('How the score is generated (H)'!$A37,Scoring!$D:$D,0))</f>
        <v>Surface type</v>
      </c>
      <c r="C37" s="322"/>
      <c r="D37" s="3"/>
      <c r="E37" s="156" t="s">
        <v>321</v>
      </c>
      <c r="F37" s="3"/>
      <c r="G37" s="3"/>
      <c r="H37" s="3"/>
    </row>
    <row r="38" spans="1:8" ht="15.5" x14ac:dyDescent="0.35">
      <c r="A38" s="134">
        <f t="shared" si="1"/>
        <v>30</v>
      </c>
      <c r="B38" s="5" t="str">
        <f>INDEX(Scoring!$H:$H,MATCH('How the score is generated (H)'!$A38,Scoring!$D:$D,0))</f>
        <v>Consideration of loading and servicing provision</v>
      </c>
      <c r="C38" s="154" t="s">
        <v>321</v>
      </c>
      <c r="D38" s="155" t="s">
        <v>321</v>
      </c>
      <c r="E38" s="156" t="s">
        <v>321</v>
      </c>
      <c r="F38" s="3"/>
      <c r="G38" s="323"/>
      <c r="H38" s="3"/>
    </row>
    <row r="39" spans="1:8" ht="15.5" x14ac:dyDescent="0.35">
      <c r="A39" s="132">
        <f t="shared" si="1"/>
        <v>31</v>
      </c>
      <c r="B39" s="4" t="str">
        <f>INDEX(Scoring!$H:$H,MATCH('How the score is generated (H)'!$A39,Scoring!$D:$D,0))</f>
        <v>Measures to reduce impact of through traffic in a street or area</v>
      </c>
      <c r="C39" s="154" t="s">
        <v>321</v>
      </c>
      <c r="D39" s="155" t="s">
        <v>321</v>
      </c>
      <c r="E39" s="156" t="s">
        <v>321</v>
      </c>
      <c r="F39" s="3"/>
      <c r="G39" s="3"/>
      <c r="H39" s="159" t="s">
        <v>321</v>
      </c>
    </row>
    <row r="40" spans="1:8" x14ac:dyDescent="0.35">
      <c r="A40" s="135"/>
      <c r="B40" s="638" t="s">
        <v>162</v>
      </c>
      <c r="C40" s="638"/>
      <c r="D40" s="638"/>
      <c r="E40" s="638"/>
      <c r="F40" s="638"/>
      <c r="G40" s="638"/>
      <c r="H40" s="640"/>
    </row>
    <row r="41" spans="1:8" x14ac:dyDescent="0.35">
      <c r="A41" s="132">
        <f>A39+1</f>
        <v>32</v>
      </c>
      <c r="B41" s="4" t="str">
        <f>INDEX(Scoring!$H:$H,MATCH('How the score is generated (H)'!$A41,Scoring!$D:$D,0))</f>
        <v>Street design and frontages</v>
      </c>
      <c r="C41" s="154" t="s">
        <v>321</v>
      </c>
      <c r="D41" s="155" t="s">
        <v>321</v>
      </c>
      <c r="E41" s="156" t="s">
        <v>321</v>
      </c>
      <c r="F41" s="157" t="s">
        <v>321</v>
      </c>
      <c r="G41" s="158" t="s">
        <v>321</v>
      </c>
      <c r="H41" s="331"/>
    </row>
    <row r="42" spans="1:8" ht="15.5" x14ac:dyDescent="0.35">
      <c r="A42" s="134">
        <f t="shared" ref="A42:A49" si="2">A41+1</f>
        <v>33</v>
      </c>
      <c r="B42" s="5" t="str">
        <f>INDEX(Scoring!$H:$H,MATCH('How the score is generated (H)'!$A42,Scoring!$D:$D,0))</f>
        <v>Uniformity and quality of street lighting and its impact on users</v>
      </c>
      <c r="C42" s="154" t="s">
        <v>321</v>
      </c>
      <c r="D42" s="155" t="s">
        <v>321</v>
      </c>
      <c r="E42" s="156" t="s">
        <v>321</v>
      </c>
      <c r="F42" s="3"/>
      <c r="G42" s="158" t="s">
        <v>321</v>
      </c>
      <c r="H42" s="3"/>
    </row>
    <row r="43" spans="1:8" ht="15.5" x14ac:dyDescent="0.35">
      <c r="A43" s="132">
        <f t="shared" si="2"/>
        <v>34</v>
      </c>
      <c r="B43" s="4" t="str">
        <f>INDEX(Scoring!$H:$H,MATCH('How the score is generated (H)'!$A43,Scoring!$D:$D,0))</f>
        <v>Provision of secure cycle parking on-street and off-street</v>
      </c>
      <c r="C43" s="3"/>
      <c r="D43" s="3"/>
      <c r="E43" s="156" t="s">
        <v>321</v>
      </c>
      <c r="F43" s="3"/>
      <c r="G43" s="3"/>
      <c r="H43" s="3"/>
    </row>
    <row r="44" spans="1:8" ht="26" x14ac:dyDescent="0.35">
      <c r="A44" s="134">
        <f t="shared" si="2"/>
        <v>35</v>
      </c>
      <c r="B44" s="5" t="str">
        <f>INDEX(Scoring!$H:$H,MATCH('How the score is generated (H)'!$A44,Scoring!$D:$D,0))</f>
        <v>Quantity/coverage, continuity and quality of green and blue infrastructure to support local nature recovery</v>
      </c>
      <c r="C44" s="154" t="s">
        <v>321</v>
      </c>
      <c r="D44" s="155" t="s">
        <v>321</v>
      </c>
      <c r="E44" s="3"/>
      <c r="F44" s="157" t="s">
        <v>321</v>
      </c>
      <c r="G44" s="158" t="s">
        <v>321</v>
      </c>
      <c r="H44" s="159" t="s">
        <v>321</v>
      </c>
    </row>
    <row r="45" spans="1:8" ht="26" x14ac:dyDescent="0.35">
      <c r="A45" s="132">
        <f t="shared" si="2"/>
        <v>36</v>
      </c>
      <c r="B45" s="4" t="str">
        <f>INDEX(Scoring!$H:$H,MATCH('How the score is generated (H)'!$A45,Scoring!$D:$D,0))</f>
        <v>Functionality of green and blue infrastructure in providing resilience to extreme weather events</v>
      </c>
      <c r="C45" s="322"/>
      <c r="D45" s="323"/>
      <c r="E45" s="3"/>
      <c r="F45" s="3"/>
      <c r="G45" s="3"/>
      <c r="H45" s="3"/>
    </row>
    <row r="46" spans="1:8" x14ac:dyDescent="0.35">
      <c r="A46" s="134">
        <f t="shared" si="2"/>
        <v>37</v>
      </c>
      <c r="B46" s="5" t="str">
        <f>INDEX(Scoring!$H:$H,MATCH('How the score is generated (H)'!$A46,Scoring!$D:$D,0))</f>
        <v>Type of surfacing appropriate to context</v>
      </c>
      <c r="C46" s="154" t="s">
        <v>321</v>
      </c>
      <c r="D46" s="155" t="s">
        <v>321</v>
      </c>
      <c r="E46" s="156" t="s">
        <v>321</v>
      </c>
      <c r="F46" s="157" t="s">
        <v>321</v>
      </c>
      <c r="G46" s="158" t="s">
        <v>321</v>
      </c>
      <c r="H46" s="159" t="s">
        <v>321</v>
      </c>
    </row>
    <row r="47" spans="1:8" ht="15.5" x14ac:dyDescent="0.35">
      <c r="A47" s="132">
        <f t="shared" si="2"/>
        <v>38</v>
      </c>
      <c r="B47" s="4" t="str">
        <f>INDEX(Scoring!$H:$H,MATCH('How the score is generated (H)'!$A47,Scoring!$D:$D,0))</f>
        <v>Permeability and legibility for walking, wheeling and cycling</v>
      </c>
      <c r="C47" s="154" t="s">
        <v>321</v>
      </c>
      <c r="D47" s="155" t="s">
        <v>321</v>
      </c>
      <c r="E47" s="156" t="s">
        <v>321</v>
      </c>
      <c r="F47" s="3"/>
      <c r="G47" s="158" t="s">
        <v>321</v>
      </c>
      <c r="H47" s="159" t="s">
        <v>321</v>
      </c>
    </row>
    <row r="48" spans="1:8" ht="15.5" x14ac:dyDescent="0.35">
      <c r="A48" s="134">
        <f t="shared" si="2"/>
        <v>39</v>
      </c>
      <c r="B48" s="5" t="str">
        <f>INDEX(Scoring!$H:$H,MATCH('How the score is generated (H)'!$A48,Scoring!$D:$D,0))</f>
        <v>Surface water ponding impact on street users and uses</v>
      </c>
      <c r="C48" s="154" t="s">
        <v>321</v>
      </c>
      <c r="D48" s="155" t="s">
        <v>321</v>
      </c>
      <c r="E48" s="156" t="s">
        <v>321</v>
      </c>
      <c r="F48" s="157" t="s">
        <v>321</v>
      </c>
      <c r="G48" s="158" t="s">
        <v>321</v>
      </c>
      <c r="H48" s="3"/>
    </row>
    <row r="49" spans="1:8" ht="15.5" x14ac:dyDescent="0.35">
      <c r="A49" s="132">
        <f t="shared" si="2"/>
        <v>40</v>
      </c>
      <c r="B49" s="4" t="str">
        <f>INDEX(Scoring!$H:$H,MATCH('How the score is generated (H)'!$A49,Scoring!$D:$D,0))</f>
        <v>Clutter and street engagement</v>
      </c>
      <c r="C49" s="154" t="s">
        <v>321</v>
      </c>
      <c r="D49" s="155" t="s">
        <v>321</v>
      </c>
      <c r="E49" s="156" t="s">
        <v>321</v>
      </c>
      <c r="F49" s="157" t="s">
        <v>321</v>
      </c>
      <c r="G49" s="158" t="s">
        <v>321</v>
      </c>
      <c r="H49" s="3"/>
    </row>
    <row r="50" spans="1:8" ht="15.5" x14ac:dyDescent="0.35">
      <c r="A50" s="134">
        <f>A49+1</f>
        <v>41</v>
      </c>
      <c r="B50" s="5" t="str">
        <f>INDEX(Scoring!$H:$H,MATCH('How the score is generated (H)'!$A50,Scoring!$D:$D,0))</f>
        <v>Context sensitive approach to traffic management and traffic engineering</v>
      </c>
      <c r="C50" s="154" t="s">
        <v>321</v>
      </c>
      <c r="D50" s="155" t="s">
        <v>321</v>
      </c>
      <c r="E50" s="156" t="s">
        <v>321</v>
      </c>
      <c r="F50" s="157" t="s">
        <v>321</v>
      </c>
      <c r="G50" s="158" t="s">
        <v>321</v>
      </c>
      <c r="H50" s="3"/>
    </row>
    <row r="51" spans="1:8" x14ac:dyDescent="0.35">
      <c r="A51" s="132">
        <f>A50+1</f>
        <v>42</v>
      </c>
      <c r="B51" s="4" t="str">
        <f>INDEX(Scoring!$H:$H,MATCH('How the score is generated (H)'!$A51,Scoring!$D:$D,0))</f>
        <v>Exposure to PM10 &amp; NOX  concentration</v>
      </c>
      <c r="C51" s="322"/>
      <c r="D51" s="155" t="s">
        <v>321</v>
      </c>
      <c r="E51" s="156" t="s">
        <v>321</v>
      </c>
      <c r="F51" s="157" t="s">
        <v>321</v>
      </c>
      <c r="G51" s="158" t="s">
        <v>321</v>
      </c>
      <c r="H51" s="159" t="s">
        <v>321</v>
      </c>
    </row>
    <row r="52" spans="1:8" x14ac:dyDescent="0.35">
      <c r="A52" s="135"/>
      <c r="B52" s="638" t="s">
        <v>210</v>
      </c>
      <c r="C52" s="638"/>
      <c r="D52" s="638"/>
      <c r="E52" s="638"/>
      <c r="F52" s="638"/>
      <c r="G52" s="638"/>
      <c r="H52" s="638"/>
    </row>
    <row r="53" spans="1:8" ht="15.5" x14ac:dyDescent="0.35">
      <c r="A53" s="137"/>
      <c r="B53" s="9" t="s">
        <v>209</v>
      </c>
      <c r="C53" s="10"/>
      <c r="D53" s="10"/>
      <c r="E53" s="10"/>
      <c r="F53" s="10"/>
      <c r="G53" s="10"/>
      <c r="H53" s="10"/>
    </row>
    <row r="54" spans="1:8" ht="15.5" x14ac:dyDescent="0.35">
      <c r="A54" s="132">
        <f>A51+1</f>
        <v>43</v>
      </c>
      <c r="B54" s="4" t="str">
        <f>INDEX(Scoring!$H:$H,MATCH('How the score is generated (H)'!$A54,Scoring!$D:$D,0))</f>
        <v>Cycle access to and cycle parking at public transport facility</v>
      </c>
      <c r="C54" s="3"/>
      <c r="D54" s="3"/>
      <c r="E54" s="156" t="s">
        <v>321</v>
      </c>
      <c r="F54" s="323"/>
      <c r="G54" s="3"/>
      <c r="H54" s="3"/>
    </row>
    <row r="55" spans="1:8" ht="15.5" x14ac:dyDescent="0.35">
      <c r="A55" s="134">
        <f>A54+1</f>
        <v>44</v>
      </c>
      <c r="B55" s="5" t="str">
        <f>INDEX(Scoring!$H:$H,MATCH('How the score is generated (H)'!$A55,Scoring!$D:$D,0))</f>
        <v>Street to platform/boarding point step free access</v>
      </c>
      <c r="C55" s="154" t="s">
        <v>321</v>
      </c>
      <c r="D55" s="155" t="s">
        <v>321</v>
      </c>
      <c r="E55" s="323"/>
      <c r="F55" s="323"/>
      <c r="G55" s="158" t="s">
        <v>321</v>
      </c>
      <c r="H55" s="3"/>
    </row>
    <row r="56" spans="1:8" ht="15.5" x14ac:dyDescent="0.35">
      <c r="A56" s="132">
        <f>A55+1</f>
        <v>45</v>
      </c>
      <c r="B56" s="4" t="str">
        <f>INDEX(Scoring!$H:$H,MATCH('How the score is generated (H)'!$A56,Scoring!$D:$D,0))</f>
        <v>Pedestrian crossing(s) and ease of access</v>
      </c>
      <c r="C56" s="154" t="s">
        <v>321</v>
      </c>
      <c r="D56" s="155" t="s">
        <v>321</v>
      </c>
      <c r="E56" s="323"/>
      <c r="F56" s="323"/>
      <c r="G56" s="3"/>
      <c r="H56" s="3"/>
    </row>
    <row r="57" spans="1:8" ht="15.5" x14ac:dyDescent="0.35">
      <c r="A57" s="134">
        <f>A56+1</f>
        <v>46</v>
      </c>
      <c r="B57" s="5" t="str">
        <f>INDEX(Scoring!$H:$H,MATCH('How the score is generated (H)'!$A57,Scoring!$D:$D,0))</f>
        <v>Bus stop proximity to other bus services</v>
      </c>
      <c r="C57" s="3"/>
      <c r="D57" s="155" t="s">
        <v>321</v>
      </c>
      <c r="E57" s="156" t="s">
        <v>321</v>
      </c>
      <c r="F57" s="157" t="s">
        <v>321</v>
      </c>
      <c r="G57" s="3"/>
      <c r="H57" s="3"/>
    </row>
    <row r="58" spans="1:8" ht="15.5" x14ac:dyDescent="0.35">
      <c r="A58" s="137"/>
      <c r="B58" s="9" t="s">
        <v>231</v>
      </c>
      <c r="C58" s="10"/>
      <c r="D58" s="10"/>
      <c r="E58" s="10"/>
      <c r="F58" s="10"/>
      <c r="G58" s="10"/>
      <c r="H58" s="10"/>
    </row>
    <row r="59" spans="1:8" ht="15.5" x14ac:dyDescent="0.35">
      <c r="A59" s="132">
        <f>A57+1</f>
        <v>47</v>
      </c>
      <c r="B59" s="4" t="str">
        <f>INDEX(Scoring!$H:$H,MATCH('How the score is generated (H)'!$A59,Scoring!$D:$D,0))</f>
        <v>Street design influences bus journey time and reliability</v>
      </c>
      <c r="C59" s="3"/>
      <c r="D59" s="155" t="s">
        <v>321</v>
      </c>
      <c r="E59" s="3"/>
      <c r="F59" s="157" t="s">
        <v>321</v>
      </c>
      <c r="G59" s="158" t="s">
        <v>321</v>
      </c>
      <c r="H59" s="323"/>
    </row>
    <row r="60" spans="1:8" ht="26" x14ac:dyDescent="0.35">
      <c r="A60" s="134">
        <f>A59+1</f>
        <v>48</v>
      </c>
      <c r="B60" s="5" t="str">
        <f>INDEX(Scoring!$H:$H,MATCH('How the score is generated (H)'!$A60,Scoring!$D:$D,0))</f>
        <v>Degree to which bus stop zone is universally accessible for people using the stop and people passing by</v>
      </c>
      <c r="C60" s="154" t="s">
        <v>321</v>
      </c>
      <c r="D60" s="155" t="s">
        <v>321</v>
      </c>
      <c r="E60" s="3"/>
      <c r="F60" s="157" t="s">
        <v>321</v>
      </c>
      <c r="G60" s="158" t="s">
        <v>321</v>
      </c>
      <c r="H60" s="3"/>
    </row>
    <row r="61" spans="1:8" ht="15.5" x14ac:dyDescent="0.35">
      <c r="A61" s="132">
        <f>A60+1</f>
        <v>49</v>
      </c>
      <c r="B61" s="4" t="str">
        <f>INDEX(Scoring!$H:$H,MATCH('How the score is generated (H)'!$A61,Scoring!$D:$D,0))</f>
        <v>Waiting space, shelter and seating at bus stop</v>
      </c>
      <c r="C61" s="154" t="s">
        <v>321</v>
      </c>
      <c r="D61" s="155" t="s">
        <v>321</v>
      </c>
      <c r="E61" s="3"/>
      <c r="F61" s="157" t="s">
        <v>321</v>
      </c>
      <c r="G61" s="158" t="s">
        <v>321</v>
      </c>
      <c r="H61" s="3"/>
    </row>
    <row r="62" spans="1:8" ht="15.5" x14ac:dyDescent="0.35">
      <c r="A62" s="134">
        <f>A61+1</f>
        <v>50</v>
      </c>
      <c r="B62" s="5" t="str">
        <f>INDEX(Scoring!$H:$H,MATCH('How the score is generated (H)'!$A62,Scoring!$D:$D,0))</f>
        <v>Customer information at bus stop</v>
      </c>
      <c r="C62" s="154" t="s">
        <v>321</v>
      </c>
      <c r="D62" s="155" t="s">
        <v>321</v>
      </c>
      <c r="E62" s="3"/>
      <c r="F62" s="157" t="s">
        <v>321</v>
      </c>
      <c r="G62" s="158" t="s">
        <v>321</v>
      </c>
      <c r="H62" s="3"/>
    </row>
    <row r="63" spans="1:8" ht="15.5" x14ac:dyDescent="0.35">
      <c r="A63" s="132">
        <f>A62+1</f>
        <v>51</v>
      </c>
      <c r="B63" s="4" t="str">
        <f>INDEX(Scoring!$H:$H,MATCH('How the score is generated (H)'!$A63,Scoring!$D:$D,0))</f>
        <v>Perception of safety at stop</v>
      </c>
      <c r="C63" s="154" t="s">
        <v>321</v>
      </c>
      <c r="D63" s="155" t="s">
        <v>321</v>
      </c>
      <c r="E63" s="3"/>
      <c r="F63" s="157" t="s">
        <v>321</v>
      </c>
      <c r="G63" s="158" t="s">
        <v>321</v>
      </c>
      <c r="H63" s="3"/>
    </row>
    <row r="64" spans="1:8" ht="15.5" x14ac:dyDescent="0.35">
      <c r="A64" s="134">
        <f>A63+1</f>
        <v>52</v>
      </c>
      <c r="B64" s="5" t="str">
        <f>INDEX(Scoring!$H:$H,MATCH('How the score is generated (H)'!$A64,Scoring!$D:$D,0))</f>
        <v>Bus priority measures - bus lanes, bus gates etc.</v>
      </c>
      <c r="C64" s="3"/>
      <c r="D64" s="3"/>
      <c r="E64" s="3"/>
      <c r="F64" s="323"/>
      <c r="G64" s="3"/>
      <c r="H64" s="159" t="s">
        <v>321</v>
      </c>
    </row>
    <row r="65" spans="1:8" ht="15.5" x14ac:dyDescent="0.35">
      <c r="A65" s="137"/>
      <c r="B65" s="9" t="s">
        <v>253</v>
      </c>
      <c r="C65" s="10"/>
      <c r="D65" s="10"/>
      <c r="E65" s="10"/>
      <c r="F65" s="10"/>
      <c r="G65" s="10"/>
      <c r="H65" s="10"/>
    </row>
    <row r="66" spans="1:8" ht="15.5" x14ac:dyDescent="0.35">
      <c r="A66" s="132">
        <f>A64+1</f>
        <v>53</v>
      </c>
      <c r="B66" s="4" t="str">
        <f>INDEX(Scoring!$H:$H,MATCH('How the score is generated (H)'!$A66,Scoring!$D:$D,0))</f>
        <v>Effective width next to a tramline on straight or curved section</v>
      </c>
      <c r="C66" s="329"/>
      <c r="D66" s="3"/>
      <c r="E66" s="156" t="s">
        <v>321</v>
      </c>
      <c r="F66" s="323"/>
      <c r="G66" s="3"/>
      <c r="H66" s="3"/>
    </row>
    <row r="67" spans="1:8" ht="15.5" x14ac:dyDescent="0.35">
      <c r="A67" s="134">
        <f>A66+1</f>
        <v>54</v>
      </c>
      <c r="B67" s="5" t="str">
        <f>INDEX(Scoring!$H:$H,MATCH('How the score is generated (H)'!$A67,Scoring!$D:$D,0))</f>
        <v>Crossing angle</v>
      </c>
      <c r="C67" s="329"/>
      <c r="D67" s="3"/>
      <c r="E67" s="156" t="s">
        <v>321</v>
      </c>
      <c r="F67" s="323"/>
      <c r="G67" s="3"/>
      <c r="H67" s="3"/>
    </row>
    <row r="68" spans="1:8" x14ac:dyDescent="0.35">
      <c r="A68" s="135"/>
      <c r="B68" s="638" t="s">
        <v>322</v>
      </c>
      <c r="C68" s="638"/>
      <c r="D68" s="638"/>
      <c r="E68" s="638"/>
      <c r="F68" s="638"/>
      <c r="G68" s="638"/>
      <c r="H68" s="638"/>
    </row>
    <row r="69" spans="1:8" ht="15.5" x14ac:dyDescent="0.35">
      <c r="A69" s="132">
        <f>A67+1</f>
        <v>55</v>
      </c>
      <c r="B69" s="4" t="str">
        <f>INDEX(Scoring!$H:$H,MATCH('How the score is generated (H)'!$A69,Scoring!$D:$D,0))</f>
        <v>Width of shared use path</v>
      </c>
      <c r="C69" s="154" t="s">
        <v>321</v>
      </c>
      <c r="D69" s="155" t="s">
        <v>321</v>
      </c>
      <c r="E69" s="156" t="s">
        <v>321</v>
      </c>
      <c r="F69" s="157" t="s">
        <v>321</v>
      </c>
      <c r="G69" s="158" t="s">
        <v>321</v>
      </c>
      <c r="H69" s="3"/>
    </row>
    <row r="70" spans="1:8" ht="15.5" x14ac:dyDescent="0.35">
      <c r="A70" s="134">
        <f>A69+1</f>
        <v>56</v>
      </c>
      <c r="B70" s="5" t="str">
        <f>INDEX(Scoring!$H:$H,MATCH('How the score is generated (H)'!$A70,Scoring!$D:$D,0))</f>
        <v>Degree to which access controls are universally accessible</v>
      </c>
      <c r="C70" s="154" t="s">
        <v>321</v>
      </c>
      <c r="D70" s="155" t="s">
        <v>321</v>
      </c>
      <c r="E70" s="156" t="s">
        <v>321</v>
      </c>
      <c r="F70" s="157" t="s">
        <v>321</v>
      </c>
      <c r="G70" s="158" t="s">
        <v>321</v>
      </c>
      <c r="H70" s="3"/>
    </row>
    <row r="71" spans="1:8" ht="15.5" x14ac:dyDescent="0.35">
      <c r="A71" s="132">
        <f>A70+1</f>
        <v>57</v>
      </c>
      <c r="B71" s="4" t="str">
        <f>INDEX(Scoring!$H:$H,MATCH('How the score is generated (H)'!$A71,Scoring!$D:$D,0))</f>
        <v>Surface/construction type</v>
      </c>
      <c r="C71" s="154" t="s">
        <v>321</v>
      </c>
      <c r="D71" s="155" t="s">
        <v>321</v>
      </c>
      <c r="E71" s="156" t="s">
        <v>321</v>
      </c>
      <c r="F71" s="3"/>
      <c r="G71" s="3"/>
      <c r="H71" s="3"/>
    </row>
    <row r="72" spans="1:8" ht="15.5" x14ac:dyDescent="0.35">
      <c r="A72" s="134">
        <f>A71+1</f>
        <v>58</v>
      </c>
      <c r="B72" s="5" t="str">
        <f>INDEX(Scoring!$H:$H,MATCH('How the score is generated (H)'!$A72,Scoring!$D:$D,0))</f>
        <v>Standard of lighting</v>
      </c>
      <c r="C72" s="154" t="s">
        <v>321</v>
      </c>
      <c r="D72" s="155" t="s">
        <v>321</v>
      </c>
      <c r="E72" s="156" t="s">
        <v>321</v>
      </c>
      <c r="F72" s="3"/>
      <c r="G72" s="158" t="s">
        <v>321</v>
      </c>
      <c r="H72" s="3"/>
    </row>
    <row r="73" spans="1:8" ht="15.5" x14ac:dyDescent="0.35">
      <c r="A73" s="132">
        <f>A72+1</f>
        <v>59</v>
      </c>
      <c r="B73" s="4" t="str">
        <f>INDEX(Scoring!$H:$H,MATCH('How the score is generated (H)'!$A73,Scoring!$D:$D,0))</f>
        <v>Existing steps or new/upgraded structures</v>
      </c>
      <c r="C73" s="154" t="s">
        <v>321</v>
      </c>
      <c r="D73" s="155" t="s">
        <v>321</v>
      </c>
      <c r="E73" s="323"/>
      <c r="F73" s="3"/>
      <c r="G73" s="3"/>
      <c r="H73" s="3"/>
    </row>
    <row r="74" spans="1:8" x14ac:dyDescent="0.35">
      <c r="A74" s="139"/>
      <c r="B74" s="140" t="s">
        <v>323</v>
      </c>
      <c r="C74" s="141">
        <f t="shared" ref="C74:H74" si="3">COUNTIF(C6:C73,"ü")*2</f>
        <v>72</v>
      </c>
      <c r="D74" s="141">
        <f t="shared" si="3"/>
        <v>82</v>
      </c>
      <c r="E74" s="141">
        <f t="shared" si="3"/>
        <v>78</v>
      </c>
      <c r="F74" s="141">
        <f t="shared" si="3"/>
        <v>30</v>
      </c>
      <c r="G74" s="141">
        <f t="shared" si="3"/>
        <v>60</v>
      </c>
      <c r="H74" s="141">
        <f t="shared" si="3"/>
        <v>18</v>
      </c>
    </row>
  </sheetData>
  <sheetProtection selectLockedCells="1"/>
  <mergeCells count="10">
    <mergeCell ref="B26:H26"/>
    <mergeCell ref="B40:H40"/>
    <mergeCell ref="B52:H52"/>
    <mergeCell ref="B68:H68"/>
    <mergeCell ref="A1:B3"/>
    <mergeCell ref="A4:B4"/>
    <mergeCell ref="B5:H5"/>
    <mergeCell ref="B11:H11"/>
    <mergeCell ref="B18:H18"/>
    <mergeCell ref="C3:H3"/>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A762-EED4-41BC-A241-EAD4E70D50A6}">
  <sheetPr>
    <tabColor rgb="FFFF7D7D"/>
  </sheetPr>
  <dimension ref="A1:J77"/>
  <sheetViews>
    <sheetView topLeftCell="A15" zoomScale="70" zoomScaleNormal="70" workbookViewId="0">
      <selection activeCell="A46" sqref="A46:XFD46"/>
    </sheetView>
  </sheetViews>
  <sheetFormatPr defaultColWidth="0" defaultRowHeight="14.5" customHeight="1" zeroHeight="1" x14ac:dyDescent="0.35"/>
  <cols>
    <col min="1" max="1" width="3.81640625" style="2" customWidth="1"/>
    <col min="2" max="2" width="74" style="2" customWidth="1"/>
    <col min="3" max="9" width="17.54296875" customWidth="1"/>
    <col min="10" max="10" width="1.81640625" customWidth="1"/>
    <col min="11" max="16384" width="8.81640625" hidden="1"/>
  </cols>
  <sheetData>
    <row r="1" spans="1:10" ht="3" customHeight="1" x14ac:dyDescent="0.35">
      <c r="A1" s="641" t="s">
        <v>797</v>
      </c>
      <c r="B1" s="641"/>
      <c r="E1" s="6"/>
    </row>
    <row r="2" spans="1:10" s="7" customFormat="1" x14ac:dyDescent="0.35">
      <c r="A2" s="641"/>
      <c r="B2" s="641"/>
    </row>
    <row r="3" spans="1:10" x14ac:dyDescent="0.35">
      <c r="A3" s="641"/>
      <c r="B3" s="641"/>
      <c r="C3" s="645" t="s">
        <v>721</v>
      </c>
      <c r="D3" s="646"/>
      <c r="E3" s="646"/>
      <c r="F3" s="646"/>
      <c r="G3" s="646"/>
      <c r="H3" s="646"/>
      <c r="I3" s="647"/>
    </row>
    <row r="4" spans="1:10" ht="50.25" customHeight="1" x14ac:dyDescent="0.35">
      <c r="A4" s="642" t="s">
        <v>320</v>
      </c>
      <c r="B4" s="643"/>
      <c r="C4" s="147" t="s">
        <v>717</v>
      </c>
      <c r="D4" s="150" t="s">
        <v>674</v>
      </c>
      <c r="E4" s="149" t="s">
        <v>800</v>
      </c>
      <c r="F4" s="151" t="s">
        <v>608</v>
      </c>
      <c r="G4" s="148" t="s">
        <v>729</v>
      </c>
      <c r="H4" s="152" t="s">
        <v>722</v>
      </c>
      <c r="I4" s="153" t="s">
        <v>730</v>
      </c>
    </row>
    <row r="5" spans="1:10" x14ac:dyDescent="0.35">
      <c r="A5" s="131"/>
      <c r="B5" s="638" t="s">
        <v>38</v>
      </c>
      <c r="C5" s="638"/>
      <c r="D5" s="638"/>
      <c r="E5" s="638"/>
      <c r="F5" s="638"/>
      <c r="G5" s="638"/>
      <c r="H5" s="638"/>
      <c r="I5" s="639"/>
    </row>
    <row r="6" spans="1:10" ht="15.5" x14ac:dyDescent="0.35">
      <c r="A6" s="132">
        <v>1</v>
      </c>
      <c r="B6" s="4" t="str">
        <f>INDEX(Scoring!$H:$H,MATCH('How the score is generated (P)'!$A6,Scoring!$D:$D,0))</f>
        <v>Left/right hook collisions at junctions or side roads</v>
      </c>
      <c r="C6" s="154" t="s">
        <v>321</v>
      </c>
      <c r="D6" s="323"/>
      <c r="E6" s="323"/>
      <c r="F6" s="3"/>
      <c r="G6" s="3"/>
      <c r="H6" s="3"/>
      <c r="I6" s="133"/>
      <c r="J6" s="8"/>
    </row>
    <row r="7" spans="1:10" ht="15.5" x14ac:dyDescent="0.35">
      <c r="A7" s="134">
        <f>A6+1</f>
        <v>2</v>
      </c>
      <c r="B7" s="5" t="str">
        <f>INDEX(Scoring!$H:$H,MATCH('How the score is generated (P)'!$A7,Scoring!$D:$D,0))</f>
        <v>Application of LTN 1/20 Junction Assessment Tool</v>
      </c>
      <c r="C7" s="154" t="s">
        <v>321</v>
      </c>
      <c r="D7" s="3"/>
      <c r="E7" s="323"/>
      <c r="F7" s="3"/>
      <c r="G7" s="3"/>
      <c r="I7" s="133"/>
      <c r="J7" s="8"/>
    </row>
    <row r="8" spans="1:10" ht="15.5" x14ac:dyDescent="0.35">
      <c r="A8" s="132">
        <f>A7+1</f>
        <v>3</v>
      </c>
      <c r="B8" s="4" t="str">
        <f>INDEX(Scoring!$H:$H,MATCH('How the score is generated (P)'!$A8,Scoring!$D:$D,0))</f>
        <v>Pedestrian and cycle continuity, priority, accessibility and legibility across side roads</v>
      </c>
      <c r="C8" s="329"/>
      <c r="D8" s="323"/>
      <c r="E8" s="323"/>
      <c r="F8" s="158" t="s">
        <v>321</v>
      </c>
      <c r="G8" s="155" t="s">
        <v>321</v>
      </c>
      <c r="H8" s="159" t="s">
        <v>321</v>
      </c>
      <c r="I8" s="133"/>
      <c r="J8" s="8"/>
    </row>
    <row r="9" spans="1:10" ht="15.5" x14ac:dyDescent="0.35">
      <c r="A9" s="134">
        <f>A8+1</f>
        <v>4</v>
      </c>
      <c r="B9" s="5" t="str">
        <f>INDEX(Scoring!$H:$H,MATCH('How the score is generated (P)'!$A9,Scoring!$D:$D,0))</f>
        <v>Number of opportunities to cross in each signal cycle</v>
      </c>
      <c r="C9" s="330"/>
      <c r="D9" s="3"/>
      <c r="E9" s="323"/>
      <c r="F9" s="3"/>
      <c r="G9" s="323"/>
      <c r="H9" s="3"/>
      <c r="I9" s="133"/>
      <c r="J9" s="8"/>
    </row>
    <row r="10" spans="1:10" ht="26" x14ac:dyDescent="0.35">
      <c r="A10" s="132">
        <f>A9+1</f>
        <v>5</v>
      </c>
      <c r="B10" s="4" t="str">
        <f>INDEX(Scoring!$H:$H,MATCH('How the score is generated (P)'!$A10,Scoring!$D:$D,0))</f>
        <v xml:space="preserve">Technology to optimise efficiency of movement (pedestrians, cyclists, buses and general motor traffic) </v>
      </c>
      <c r="C10" s="8"/>
      <c r="D10" s="323"/>
      <c r="E10" s="156" t="s">
        <v>321</v>
      </c>
      <c r="F10" s="324"/>
      <c r="G10" s="3"/>
      <c r="H10" s="3"/>
      <c r="I10" s="325"/>
      <c r="J10" s="8"/>
    </row>
    <row r="11" spans="1:10" x14ac:dyDescent="0.35">
      <c r="A11" s="135"/>
      <c r="B11" s="638" t="s">
        <v>54</v>
      </c>
      <c r="C11" s="638"/>
      <c r="D11" s="638"/>
      <c r="E11" s="638"/>
      <c r="F11" s="640"/>
      <c r="G11" s="638"/>
      <c r="H11" s="638"/>
      <c r="I11" s="644"/>
    </row>
    <row r="12" spans="1:10" x14ac:dyDescent="0.35">
      <c r="A12" s="132">
        <f>A10+1</f>
        <v>6</v>
      </c>
      <c r="B12" s="4" t="str">
        <f>INDEX(Scoring!$H:$H,MATCH('How the score is generated (P)'!$A12,Scoring!$D:$D,0))</f>
        <v>Distance between formal crossing points considering PCU's a day</v>
      </c>
      <c r="C12" s="154" t="s">
        <v>321</v>
      </c>
      <c r="D12" s="323"/>
      <c r="E12" s="323"/>
      <c r="F12" s="158" t="s">
        <v>321</v>
      </c>
      <c r="G12" s="155" t="s">
        <v>321</v>
      </c>
      <c r="H12" s="159" t="s">
        <v>321</v>
      </c>
      <c r="I12" s="160" t="s">
        <v>321</v>
      </c>
    </row>
    <row r="13" spans="1:10" x14ac:dyDescent="0.35">
      <c r="A13" s="134">
        <f>A12+1</f>
        <v>7</v>
      </c>
      <c r="B13" s="5" t="str">
        <f>INDEX(Scoring!$H:$H,MATCH('How the score is generated (P)'!$A13,Scoring!$D:$D,0))</f>
        <v>Type of crossing facility appropriate for street context</v>
      </c>
      <c r="C13" s="154" t="s">
        <v>321</v>
      </c>
      <c r="D13" s="323"/>
      <c r="E13" s="323"/>
      <c r="F13" s="158" t="s">
        <v>321</v>
      </c>
      <c r="G13" s="155" t="s">
        <v>321</v>
      </c>
      <c r="H13" s="159" t="s">
        <v>321</v>
      </c>
      <c r="I13" s="160" t="s">
        <v>321</v>
      </c>
    </row>
    <row r="14" spans="1:10" ht="15.5" x14ac:dyDescent="0.35">
      <c r="A14" s="132">
        <f>A13+1</f>
        <v>8</v>
      </c>
      <c r="B14" s="4" t="str">
        <f>INDEX(Scoring!$H:$H,MATCH('How the score is generated (P)'!$A14,Scoring!$D:$D,0))</f>
        <v>Waiting time after pressing call button for green man to be displayed</v>
      </c>
      <c r="C14" s="2"/>
      <c r="D14" s="323"/>
      <c r="E14" s="323"/>
      <c r="F14" s="3"/>
      <c r="G14" s="3"/>
      <c r="H14" s="3"/>
      <c r="I14" s="388"/>
    </row>
    <row r="15" spans="1:10" ht="15.5" x14ac:dyDescent="0.35">
      <c r="A15" s="134">
        <f>A14+1</f>
        <v>9</v>
      </c>
      <c r="B15" s="5" t="str">
        <f>INDEX(Scoring!$H:$H,MATCH('How the score is generated (P)'!$A15,Scoring!$D:$D,0))</f>
        <v>Walking speed used in calculating pedestrian crossing clearance timings</v>
      </c>
      <c r="C15" s="329"/>
      <c r="D15" s="323"/>
      <c r="E15" s="323"/>
      <c r="F15" s="158" t="s">
        <v>321</v>
      </c>
      <c r="G15" s="155" t="s">
        <v>321</v>
      </c>
      <c r="H15" s="3"/>
      <c r="I15" s="160" t="s">
        <v>321</v>
      </c>
    </row>
    <row r="16" spans="1:10" ht="26" x14ac:dyDescent="0.35">
      <c r="A16" s="132">
        <f>A15+1</f>
        <v>10</v>
      </c>
      <c r="B16" s="4" t="str">
        <f>INDEX(Scoring!$H:$H,MATCH('How the score is generated (P)'!$A16,Scoring!$D:$D,0))</f>
        <v>Crossings on key pedestrian routes that create cross-street permeability and route continuity</v>
      </c>
      <c r="C16" s="2"/>
      <c r="D16" s="323"/>
      <c r="E16" s="3"/>
      <c r="F16" s="3"/>
      <c r="G16" s="3"/>
      <c r="H16" s="3"/>
      <c r="I16" s="133"/>
    </row>
    <row r="17" spans="1:9" ht="15.5" x14ac:dyDescent="0.35">
      <c r="A17" s="134">
        <f>A16+1</f>
        <v>11</v>
      </c>
      <c r="B17" s="5" t="str">
        <f>INDEX(Scoring!$H:$H,MATCH('How the score is generated (P)'!$A17,Scoring!$D:$D,0))</f>
        <v>Undulating footways and cycle tracks at vehicle crossovers.
Footway crossfalls.</v>
      </c>
      <c r="C17" s="329"/>
      <c r="D17" s="323"/>
      <c r="E17" s="3"/>
      <c r="F17" s="158" t="s">
        <v>321</v>
      </c>
      <c r="G17" s="155" t="s">
        <v>321</v>
      </c>
      <c r="H17" s="159" t="s">
        <v>321</v>
      </c>
      <c r="I17" s="326"/>
    </row>
    <row r="18" spans="1:9" x14ac:dyDescent="0.35">
      <c r="A18" s="135"/>
      <c r="B18" s="638" t="s">
        <v>72</v>
      </c>
      <c r="C18" s="638"/>
      <c r="D18" s="638"/>
      <c r="E18" s="638"/>
      <c r="F18" s="638"/>
      <c r="G18" s="638"/>
      <c r="H18" s="638"/>
      <c r="I18" s="639"/>
    </row>
    <row r="19" spans="1:9" ht="15.65" customHeight="1" x14ac:dyDescent="0.35">
      <c r="A19" s="132">
        <f>A17+1</f>
        <v>12</v>
      </c>
      <c r="B19" s="4" t="str">
        <f>INDEX(Scoring!$H:$H,MATCH('How the score is generated (P)'!$A19,Scoring!$D:$D,0))</f>
        <v>Clear pedestrian routes that maintain minimum unobstructed width throughout</v>
      </c>
      <c r="C19" s="332"/>
      <c r="D19" s="331"/>
      <c r="E19" s="156" t="s">
        <v>321</v>
      </c>
      <c r="F19" s="158" t="s">
        <v>321</v>
      </c>
      <c r="G19" s="155" t="s">
        <v>321</v>
      </c>
      <c r="H19" s="159" t="s">
        <v>321</v>
      </c>
      <c r="I19" s="133"/>
    </row>
    <row r="20" spans="1:9" x14ac:dyDescent="0.35">
      <c r="A20" s="134">
        <f t="shared" ref="A20:A25" si="0">A19+1</f>
        <v>13</v>
      </c>
      <c r="B20" s="5" t="str">
        <f>INDEX(Scoring!$H:$H,MATCH('How the score is generated (P)'!$A20,Scoring!$D:$D,0))</f>
        <v>Trip hazards and surface quality</v>
      </c>
      <c r="C20" s="329"/>
      <c r="D20" s="331"/>
      <c r="E20" s="323"/>
      <c r="F20" s="158" t="s">
        <v>321</v>
      </c>
      <c r="G20" s="155" t="s">
        <v>321</v>
      </c>
      <c r="H20" s="159" t="s">
        <v>321</v>
      </c>
      <c r="I20" s="160" t="s">
        <v>321</v>
      </c>
    </row>
    <row r="21" spans="1:9" ht="15.5" x14ac:dyDescent="0.35">
      <c r="A21" s="132">
        <f t="shared" si="0"/>
        <v>14</v>
      </c>
      <c r="B21" s="4" t="str">
        <f>INDEX(Scoring!$H:$H,MATCH('How the score is generated (P)'!$A21,Scoring!$D:$D,0))</f>
        <v>Gradient over a specified distance</v>
      </c>
      <c r="C21" s="332"/>
      <c r="D21" s="331"/>
      <c r="E21" s="323"/>
      <c r="F21" s="158" t="s">
        <v>321</v>
      </c>
      <c r="G21" s="155" t="s">
        <v>321</v>
      </c>
      <c r="H21" s="3"/>
      <c r="I21" s="133"/>
    </row>
    <row r="22" spans="1:9" ht="15.5" x14ac:dyDescent="0.35">
      <c r="A22" s="134">
        <f t="shared" si="0"/>
        <v>15</v>
      </c>
      <c r="B22" s="5" t="str">
        <f>INDEX(Scoring!$H:$H,MATCH('How the score is generated (P)'!$A22,Scoring!$D:$D,0))</f>
        <v>Legibility and tonal contrast of surfacing</v>
      </c>
      <c r="C22" s="329"/>
      <c r="D22" s="331"/>
      <c r="E22" s="332"/>
      <c r="F22" s="323"/>
      <c r="G22" s="323"/>
      <c r="H22" s="159" t="s">
        <v>321</v>
      </c>
      <c r="I22" s="326"/>
    </row>
    <row r="23" spans="1:9" ht="15.5" x14ac:dyDescent="0.35">
      <c r="A23" s="132">
        <f t="shared" si="0"/>
        <v>16</v>
      </c>
      <c r="B23" s="4" t="str">
        <f>INDEX(Scoring!$H:$H,MATCH('How the score is generated (P)'!$A23,Scoring!$D:$D,0))</f>
        <v>Walking distance between resting points</v>
      </c>
      <c r="C23" s="329"/>
      <c r="D23" s="331"/>
      <c r="E23" s="332"/>
      <c r="F23" s="158" t="s">
        <v>321</v>
      </c>
      <c r="G23" s="155" t="s">
        <v>321</v>
      </c>
      <c r="H23" s="3"/>
      <c r="I23" s="160" t="s">
        <v>321</v>
      </c>
    </row>
    <row r="24" spans="1:9" ht="15.5" x14ac:dyDescent="0.35">
      <c r="A24" s="134">
        <f t="shared" si="0"/>
        <v>17</v>
      </c>
      <c r="B24" s="5" t="str">
        <f>INDEX(Scoring!$H:$H,MATCH('How the score is generated (P)'!$A24,Scoring!$D:$D,0))</f>
        <v>Provision, quality and continuity of wayfinding</v>
      </c>
      <c r="C24" s="333"/>
      <c r="D24" s="331"/>
      <c r="E24" s="331"/>
      <c r="F24" s="3"/>
      <c r="G24" s="3"/>
      <c r="H24" s="3"/>
      <c r="I24" s="133"/>
    </row>
    <row r="25" spans="1:9" ht="15.5" x14ac:dyDescent="0.35">
      <c r="A25" s="387">
        <f t="shared" si="0"/>
        <v>18</v>
      </c>
      <c r="B25" s="386" t="str">
        <f>INDEX(Scoring!$H:$H,MATCH('How the score is generated (P)'!$A25,Scoring!$D:$D,0))</f>
        <v>Appropriateness and width of shared use with cycles</v>
      </c>
      <c r="C25" s="329"/>
      <c r="D25" s="323"/>
      <c r="E25" s="323"/>
      <c r="F25" s="158" t="s">
        <v>321</v>
      </c>
      <c r="G25" s="155" t="s">
        <v>321</v>
      </c>
      <c r="H25" s="159" t="s">
        <v>321</v>
      </c>
      <c r="I25" s="133"/>
    </row>
    <row r="26" spans="1:9" x14ac:dyDescent="0.35">
      <c r="A26" s="135"/>
      <c r="B26" s="638" t="s">
        <v>887</v>
      </c>
      <c r="C26" s="638"/>
      <c r="D26" s="638"/>
      <c r="E26" s="638"/>
      <c r="F26" s="638"/>
      <c r="G26" s="638"/>
      <c r="H26" s="638"/>
      <c r="I26" s="639"/>
    </row>
    <row r="27" spans="1:9" ht="15.5" x14ac:dyDescent="0.35">
      <c r="A27" s="132">
        <f>A25+1</f>
        <v>19</v>
      </c>
      <c r="B27" s="4" t="str">
        <f>INDEX(Scoring!$H:$H,MATCH('How the score is generated (P)'!$A27,Scoring!$D:$D,0))</f>
        <v>Speed at which drivers travel</v>
      </c>
      <c r="C27" s="154" t="s">
        <v>321</v>
      </c>
      <c r="D27" s="323"/>
      <c r="E27" s="323"/>
      <c r="F27" s="3"/>
      <c r="G27" s="3"/>
      <c r="H27" s="3"/>
      <c r="I27" s="133"/>
    </row>
    <row r="28" spans="1:9" x14ac:dyDescent="0.35">
      <c r="A28" s="134">
        <f>A27+1</f>
        <v>20</v>
      </c>
      <c r="B28" s="5" t="str">
        <f>INDEX(Scoring!$H:$H,MATCH('How the score is generated (P)'!$A28,Scoring!$D:$D,0))</f>
        <v>Total volume of traffic (PCU's)</v>
      </c>
      <c r="C28" s="154" t="s">
        <v>321</v>
      </c>
      <c r="D28" s="323"/>
      <c r="E28" s="323"/>
      <c r="F28" s="323"/>
      <c r="G28" s="323"/>
      <c r="H28" s="323"/>
      <c r="I28" s="326"/>
    </row>
    <row r="29" spans="1:9" x14ac:dyDescent="0.35">
      <c r="A29" s="132">
        <f t="shared" ref="A29:A39" si="1">A28+1</f>
        <v>21</v>
      </c>
      <c r="B29" s="4" t="str">
        <f>INDEX(Scoring!$H:$H,MATCH('How the score is generated (P)'!$A29,Scoring!$D:$D,0))</f>
        <v>Percentage of large vehicles in peak hour</v>
      </c>
      <c r="C29" s="154" t="s">
        <v>321</v>
      </c>
      <c r="D29" s="323"/>
      <c r="E29" s="323"/>
      <c r="F29" s="323"/>
      <c r="G29" s="323"/>
      <c r="H29" s="323"/>
      <c r="I29" s="326"/>
    </row>
    <row r="30" spans="1:9" ht="15.5" x14ac:dyDescent="0.35">
      <c r="A30" s="134">
        <f t="shared" si="1"/>
        <v>22</v>
      </c>
      <c r="B30" s="5" t="str">
        <f>INDEX(Scoring!$H:$H,MATCH('How the score is generated (P)'!$A30,Scoring!$D:$D,0))</f>
        <v>Clear nearside space in secondary position or motor vehicle volume in primary position</v>
      </c>
      <c r="C30" s="329"/>
      <c r="D30" s="3"/>
      <c r="E30" s="323"/>
      <c r="F30" s="3"/>
      <c r="G30" s="3"/>
      <c r="H30" s="3"/>
      <c r="I30" s="133"/>
    </row>
    <row r="31" spans="1:9" ht="15.5" x14ac:dyDescent="0.35">
      <c r="A31" s="132">
        <f t="shared" si="1"/>
        <v>23</v>
      </c>
      <c r="B31" s="4" t="str">
        <f>INDEX(Scoring!$H:$H,MATCH('How the score is generated (P)'!$A31,Scoring!$D:$D,0))</f>
        <v>Nearside lane width and configuration</v>
      </c>
      <c r="C31" s="329"/>
      <c r="D31" s="3"/>
      <c r="E31" s="323"/>
      <c r="F31" s="3"/>
      <c r="G31" s="3"/>
      <c r="H31" s="3"/>
      <c r="I31" s="133"/>
    </row>
    <row r="32" spans="1:9" ht="15.5" x14ac:dyDescent="0.35">
      <c r="A32" s="134">
        <f t="shared" si="1"/>
        <v>24</v>
      </c>
      <c r="B32" s="5" t="str">
        <f>INDEX(Scoring!$H:$H,MATCH('How the score is generated (P)'!$A32,Scoring!$D:$D,0))</f>
        <v>Effect of kerbside activity on cyclists</v>
      </c>
      <c r="C32" s="329"/>
      <c r="D32" s="3"/>
      <c r="E32" s="323"/>
      <c r="F32" s="3"/>
      <c r="G32" s="3"/>
      <c r="H32" s="3"/>
      <c r="I32" s="133"/>
    </row>
    <row r="33" spans="1:9" ht="15.5" x14ac:dyDescent="0.35">
      <c r="A33" s="132">
        <f t="shared" si="1"/>
        <v>25</v>
      </c>
      <c r="B33" s="4" t="str">
        <f>INDEX(Scoring!$H:$H,MATCH('How the score is generated (P)'!$A33,Scoring!$D:$D,0))</f>
        <v>Deviation of route end-end vs shortest road alternative</v>
      </c>
      <c r="C33" s="332"/>
      <c r="D33" s="3"/>
      <c r="E33" s="323"/>
      <c r="F33" s="3"/>
      <c r="G33" s="3"/>
      <c r="H33" s="3"/>
      <c r="I33" s="133"/>
    </row>
    <row r="34" spans="1:9" ht="15.5" x14ac:dyDescent="0.35">
      <c r="A34" s="134">
        <f t="shared" si="1"/>
        <v>26</v>
      </c>
      <c r="B34" s="5" t="str">
        <f>INDEX(Scoring!$H:$H,MATCH('How the score is generated (P)'!$A34,Scoring!$D:$D,0))</f>
        <v>Cyclist's ability to pass other users</v>
      </c>
      <c r="C34" s="332"/>
      <c r="D34" s="3"/>
      <c r="E34" s="323"/>
      <c r="F34" s="3"/>
      <c r="G34" s="3"/>
      <c r="H34" s="3"/>
      <c r="I34" s="133"/>
    </row>
    <row r="35" spans="1:9" ht="15.5" x14ac:dyDescent="0.35">
      <c r="A35" s="132">
        <f>A34+1</f>
        <v>27</v>
      </c>
      <c r="B35" s="4" t="str">
        <f>INDEX(Scoring!$H:$H,MATCH('How the score is generated (P)'!$A35,Scoring!$D:$D,0))</f>
        <v>Ability to join/leave route safely and easily</v>
      </c>
      <c r="C35" s="332"/>
      <c r="D35" s="3"/>
      <c r="E35" s="323"/>
      <c r="F35" s="3"/>
      <c r="G35" s="3"/>
      <c r="H35" s="3"/>
      <c r="I35" s="133"/>
    </row>
    <row r="36" spans="1:9" ht="15.5" x14ac:dyDescent="0.35">
      <c r="A36" s="134">
        <f t="shared" si="1"/>
        <v>28</v>
      </c>
      <c r="B36" s="5" t="str">
        <f>INDEX(Scoring!$H:$H,MATCH('How the score is generated (P)'!$A36,Scoring!$D:$D,0))</f>
        <v>Surface condition and general maintenance</v>
      </c>
      <c r="C36" s="329"/>
      <c r="D36" s="3"/>
      <c r="E36" s="323"/>
      <c r="F36" s="3"/>
      <c r="G36" s="3"/>
      <c r="H36" s="3"/>
      <c r="I36" s="133"/>
    </row>
    <row r="37" spans="1:9" ht="15.5" x14ac:dyDescent="0.35">
      <c r="A37" s="132">
        <f t="shared" si="1"/>
        <v>29</v>
      </c>
      <c r="B37" s="4" t="str">
        <f>INDEX(Scoring!$H:$H,MATCH('How the score is generated (P)'!$A37,Scoring!$D:$D,0))</f>
        <v>Surface type</v>
      </c>
      <c r="C37" s="322"/>
      <c r="D37" s="3"/>
      <c r="E37" s="323"/>
      <c r="F37" s="3"/>
      <c r="G37" s="3"/>
      <c r="H37" s="3"/>
      <c r="I37" s="133"/>
    </row>
    <row r="38" spans="1:9" ht="15.5" x14ac:dyDescent="0.35">
      <c r="A38" s="134">
        <f t="shared" si="1"/>
        <v>30</v>
      </c>
      <c r="B38" s="5" t="str">
        <f>INDEX(Scoring!$H:$H,MATCH('How the score is generated (P)'!$A38,Scoring!$D:$D,0))</f>
        <v>Consideration of loading and servicing provision</v>
      </c>
      <c r="C38" s="329"/>
      <c r="D38" s="3"/>
      <c r="E38" s="3"/>
      <c r="F38" s="3"/>
      <c r="G38" s="155" t="s">
        <v>321</v>
      </c>
      <c r="H38" s="159" t="s">
        <v>321</v>
      </c>
      <c r="I38" s="133"/>
    </row>
    <row r="39" spans="1:9" ht="15.5" x14ac:dyDescent="0.35">
      <c r="A39" s="132">
        <f t="shared" si="1"/>
        <v>31</v>
      </c>
      <c r="B39" s="4" t="str">
        <f>INDEX(Scoring!$H:$H,MATCH('How the score is generated (P)'!$A39,Scoring!$D:$D,0))</f>
        <v>Measures to reduce impact of through traffic in a street or area</v>
      </c>
      <c r="C39" s="154" t="s">
        <v>321</v>
      </c>
      <c r="D39" s="323"/>
      <c r="E39" s="156" t="s">
        <v>321</v>
      </c>
      <c r="F39" s="158" t="s">
        <v>321</v>
      </c>
      <c r="G39" s="3"/>
      <c r="H39" s="324"/>
      <c r="I39" s="133"/>
    </row>
    <row r="40" spans="1:9" x14ac:dyDescent="0.35">
      <c r="A40" s="135"/>
      <c r="B40" s="638" t="s">
        <v>888</v>
      </c>
      <c r="C40" s="638"/>
      <c r="D40" s="638"/>
      <c r="E40" s="638"/>
      <c r="F40" s="638"/>
      <c r="G40" s="638"/>
      <c r="H40" s="640"/>
      <c r="I40" s="639"/>
    </row>
    <row r="41" spans="1:9" ht="15.5" x14ac:dyDescent="0.35">
      <c r="A41" s="132">
        <f>A39+1</f>
        <v>32</v>
      </c>
      <c r="B41" s="4" t="str">
        <f>INDEX(Scoring!$H:$H,MATCH('How the score is generated (P)'!$A41,Scoring!$D:$D,0))</f>
        <v>Street design and frontages</v>
      </c>
      <c r="C41" s="154" t="s">
        <v>321</v>
      </c>
      <c r="D41" s="157" t="s">
        <v>321</v>
      </c>
      <c r="E41" s="156" t="s">
        <v>321</v>
      </c>
      <c r="F41" s="158" t="s">
        <v>321</v>
      </c>
      <c r="H41" s="331"/>
      <c r="I41" s="133"/>
    </row>
    <row r="42" spans="1:9" ht="15.5" x14ac:dyDescent="0.35">
      <c r="A42" s="134">
        <f t="shared" ref="A42:A49" si="2">A41+1</f>
        <v>33</v>
      </c>
      <c r="B42" s="5" t="str">
        <f>INDEX(Scoring!$H:$H,MATCH('How the score is generated (P)'!$A42,Scoring!$D:$D,0))</f>
        <v>Uniformity and quality of street lighting and its impact on users</v>
      </c>
      <c r="C42" s="154" t="s">
        <v>321</v>
      </c>
      <c r="D42" s="157" t="s">
        <v>321</v>
      </c>
      <c r="E42" s="156" t="s">
        <v>321</v>
      </c>
      <c r="F42" s="158" t="s">
        <v>321</v>
      </c>
      <c r="G42" s="155" t="s">
        <v>321</v>
      </c>
      <c r="H42" s="159" t="s">
        <v>321</v>
      </c>
      <c r="I42" s="133"/>
    </row>
    <row r="43" spans="1:9" ht="15.5" x14ac:dyDescent="0.35">
      <c r="A43" s="132">
        <f t="shared" si="2"/>
        <v>34</v>
      </c>
      <c r="B43" s="4" t="str">
        <f>INDEX(Scoring!$H:$H,MATCH('How the score is generated (P)'!$A43,Scoring!$D:$D,0))</f>
        <v>Provision of secure cycle parking on-street and off-street</v>
      </c>
      <c r="C43" s="3"/>
      <c r="D43" s="3"/>
      <c r="E43" s="323"/>
      <c r="F43" s="3"/>
      <c r="G43" s="3"/>
      <c r="H43" s="3"/>
      <c r="I43" s="133"/>
    </row>
    <row r="44" spans="1:9" ht="26" x14ac:dyDescent="0.35">
      <c r="A44" s="134">
        <f t="shared" si="2"/>
        <v>35</v>
      </c>
      <c r="B44" s="5" t="str">
        <f>INDEX(Scoring!$H:$H,MATCH('How the score is generated (P)'!$A44,Scoring!$D:$D,0))</f>
        <v>Quantity/coverage, continuity and quality of green and blue infrastructure to support local nature recovery</v>
      </c>
      <c r="C44" s="154" t="s">
        <v>321</v>
      </c>
      <c r="D44" s="3"/>
      <c r="E44" s="156" t="s">
        <v>321</v>
      </c>
      <c r="F44" s="158" t="s">
        <v>321</v>
      </c>
      <c r="H44" s="323"/>
      <c r="I44" s="160" t="s">
        <v>321</v>
      </c>
    </row>
    <row r="45" spans="1:9" ht="26" x14ac:dyDescent="0.35">
      <c r="A45" s="132">
        <f t="shared" si="2"/>
        <v>36</v>
      </c>
      <c r="B45" s="4" t="str">
        <f>INDEX(Scoring!$H:$H,MATCH('How the score is generated (P)'!$A45,Scoring!$D:$D,0))</f>
        <v>Functionality of green and blue infrastructure in providing resilience to extreme weather events</v>
      </c>
      <c r="C45" s="322"/>
      <c r="D45" s="323"/>
      <c r="E45" s="3"/>
      <c r="F45" s="3"/>
      <c r="G45" s="3"/>
      <c r="H45" s="3"/>
      <c r="I45" s="133"/>
    </row>
    <row r="46" spans="1:9" ht="15.5" x14ac:dyDescent="0.35">
      <c r="A46" s="134">
        <f t="shared" si="2"/>
        <v>37</v>
      </c>
      <c r="B46" s="5" t="str">
        <f>INDEX(Scoring!$H:$H,MATCH('How the score is generated (P)'!$A46,Scoring!$D:$D,0))</f>
        <v>Type of surfacing appropriate to context</v>
      </c>
      <c r="C46" s="154" t="s">
        <v>321</v>
      </c>
      <c r="D46" s="3"/>
      <c r="E46" s="3"/>
      <c r="F46" s="158" t="s">
        <v>321</v>
      </c>
      <c r="G46" s="155" t="s">
        <v>321</v>
      </c>
      <c r="H46" s="159" t="s">
        <v>321</v>
      </c>
      <c r="I46" s="160" t="s">
        <v>321</v>
      </c>
    </row>
    <row r="47" spans="1:9" x14ac:dyDescent="0.35">
      <c r="A47" s="132">
        <f t="shared" si="2"/>
        <v>38</v>
      </c>
      <c r="B47" s="4" t="str">
        <f>INDEX(Scoring!$H:$H,MATCH('How the score is generated (P)'!$A47,Scoring!$D:$D,0))</f>
        <v>Permeability and legibility for walking, wheeling and cycling</v>
      </c>
      <c r="C47" s="154" t="s">
        <v>321</v>
      </c>
      <c r="D47" s="157" t="s">
        <v>321</v>
      </c>
      <c r="E47" s="156" t="s">
        <v>321</v>
      </c>
      <c r="F47" s="158" t="s">
        <v>321</v>
      </c>
      <c r="G47" s="155" t="s">
        <v>321</v>
      </c>
      <c r="H47" s="159" t="s">
        <v>321</v>
      </c>
      <c r="I47" s="160" t="s">
        <v>321</v>
      </c>
    </row>
    <row r="48" spans="1:9" ht="15.5" x14ac:dyDescent="0.35">
      <c r="A48" s="134">
        <f t="shared" si="2"/>
        <v>39</v>
      </c>
      <c r="B48" s="5" t="str">
        <f>INDEX(Scoring!$H:$H,MATCH('How the score is generated (P)'!$A48,Scoring!$D:$D,0))</f>
        <v>Surface water ponding impact on street users and uses</v>
      </c>
      <c r="C48" s="322"/>
      <c r="D48" s="323"/>
      <c r="E48" s="3"/>
      <c r="F48" s="158" t="s">
        <v>321</v>
      </c>
      <c r="G48" s="155" t="s">
        <v>321</v>
      </c>
      <c r="H48" s="159" t="s">
        <v>321</v>
      </c>
      <c r="I48" s="133"/>
    </row>
    <row r="49" spans="1:9" ht="15.5" x14ac:dyDescent="0.35">
      <c r="A49" s="132">
        <f t="shared" si="2"/>
        <v>40</v>
      </c>
      <c r="B49" s="4" t="str">
        <f>INDEX(Scoring!$H:$H,MATCH('How the score is generated (P)'!$A49,Scoring!$D:$D,0))</f>
        <v>Clutter and street engagement</v>
      </c>
      <c r="C49" s="154" t="s">
        <v>321</v>
      </c>
      <c r="D49" s="3"/>
      <c r="E49" s="3"/>
      <c r="F49" s="158" t="s">
        <v>321</v>
      </c>
      <c r="G49" s="3"/>
      <c r="H49" s="3"/>
      <c r="I49" s="133"/>
    </row>
    <row r="50" spans="1:9" ht="15.5" x14ac:dyDescent="0.35">
      <c r="A50" s="134">
        <f>A49+1</f>
        <v>41</v>
      </c>
      <c r="B50" s="5" t="str">
        <f>INDEX(Scoring!$H:$H,MATCH('How the score is generated (P)'!$A50,Scoring!$D:$D,0))</f>
        <v>Context sensitive approach to traffic management and traffic engineering</v>
      </c>
      <c r="C50" s="154" t="s">
        <v>321</v>
      </c>
      <c r="D50" s="3"/>
      <c r="E50" s="156" t="s">
        <v>321</v>
      </c>
      <c r="F50" s="158" t="s">
        <v>321</v>
      </c>
      <c r="G50" s="155" t="s">
        <v>321</v>
      </c>
      <c r="H50" s="159" t="s">
        <v>321</v>
      </c>
      <c r="I50" s="160" t="s">
        <v>321</v>
      </c>
    </row>
    <row r="51" spans="1:9" x14ac:dyDescent="0.35">
      <c r="A51" s="132">
        <f>A50+1</f>
        <v>42</v>
      </c>
      <c r="B51" s="4" t="str">
        <f>INDEX(Scoring!$H:$H,MATCH('How the score is generated (P)'!$A51,Scoring!$D:$D,0))</f>
        <v>Exposure to PM10 &amp; NOX  concentration</v>
      </c>
      <c r="C51" s="154" t="s">
        <v>321</v>
      </c>
      <c r="D51" s="157" t="s">
        <v>321</v>
      </c>
      <c r="E51" s="156" t="s">
        <v>321</v>
      </c>
      <c r="F51" s="158" t="s">
        <v>321</v>
      </c>
      <c r="G51" s="155" t="s">
        <v>321</v>
      </c>
      <c r="H51" s="159" t="s">
        <v>321</v>
      </c>
      <c r="I51" s="160" t="s">
        <v>321</v>
      </c>
    </row>
    <row r="52" spans="1:9" x14ac:dyDescent="0.35">
      <c r="A52" s="135"/>
      <c r="B52" s="638" t="s">
        <v>210</v>
      </c>
      <c r="C52" s="638"/>
      <c r="D52" s="638"/>
      <c r="E52" s="638"/>
      <c r="F52" s="638"/>
      <c r="G52" s="638"/>
      <c r="H52" s="638"/>
      <c r="I52" s="639"/>
    </row>
    <row r="53" spans="1:9" ht="15.5" x14ac:dyDescent="0.35">
      <c r="A53" s="137"/>
      <c r="B53" s="9" t="s">
        <v>209</v>
      </c>
      <c r="C53" s="10"/>
      <c r="D53" s="10"/>
      <c r="E53" s="10"/>
      <c r="F53" s="10"/>
      <c r="G53" s="10"/>
      <c r="H53" s="10"/>
      <c r="I53" s="138"/>
    </row>
    <row r="54" spans="1:9" ht="15.5" x14ac:dyDescent="0.35">
      <c r="A54" s="132">
        <f>A51+1</f>
        <v>43</v>
      </c>
      <c r="B54" s="4" t="str">
        <f>INDEX(Scoring!$H:$H,MATCH('How the score is generated (P)'!$A54,Scoring!$D:$D,0))</f>
        <v>Cycle access to and cycle parking at public transport facility</v>
      </c>
      <c r="C54" s="3"/>
      <c r="D54" s="3"/>
      <c r="E54" s="156" t="s">
        <v>321</v>
      </c>
      <c r="F54" s="323"/>
      <c r="G54" s="3"/>
      <c r="H54" s="3"/>
      <c r="I54" s="133"/>
    </row>
    <row r="55" spans="1:9" x14ac:dyDescent="0.35">
      <c r="A55" s="134">
        <f>A54+1</f>
        <v>44</v>
      </c>
      <c r="B55" s="5" t="str">
        <f>INDEX(Scoring!$H:$H,MATCH('How the score is generated (P)'!$A55,Scoring!$D:$D,0))</f>
        <v>Street to platform/boarding point step free access</v>
      </c>
      <c r="C55" s="154" t="s">
        <v>321</v>
      </c>
      <c r="D55" s="157" t="s">
        <v>321</v>
      </c>
      <c r="E55" s="156" t="s">
        <v>321</v>
      </c>
      <c r="F55" s="158" t="s">
        <v>321</v>
      </c>
      <c r="G55" s="155" t="s">
        <v>321</v>
      </c>
      <c r="H55" s="159" t="s">
        <v>321</v>
      </c>
      <c r="I55" s="160" t="s">
        <v>321</v>
      </c>
    </row>
    <row r="56" spans="1:9" x14ac:dyDescent="0.35">
      <c r="A56" s="132">
        <f>A55+1</f>
        <v>45</v>
      </c>
      <c r="B56" s="4" t="str">
        <f>INDEX(Scoring!$H:$H,MATCH('How the score is generated (P)'!$A56,Scoring!$D:$D,0))</f>
        <v>Pedestrian crossing(s) and ease of access</v>
      </c>
      <c r="C56" s="154" t="s">
        <v>321</v>
      </c>
      <c r="D56" s="323"/>
      <c r="E56" s="156" t="s">
        <v>321</v>
      </c>
      <c r="F56" s="158" t="s">
        <v>321</v>
      </c>
      <c r="G56" s="155" t="s">
        <v>321</v>
      </c>
      <c r="H56" s="159" t="s">
        <v>321</v>
      </c>
      <c r="I56" s="160" t="s">
        <v>321</v>
      </c>
    </row>
    <row r="57" spans="1:9" x14ac:dyDescent="0.35">
      <c r="A57" s="134">
        <f>A56+1</f>
        <v>46</v>
      </c>
      <c r="B57" s="5" t="str">
        <f>INDEX(Scoring!$H:$H,MATCH('How the score is generated (P)'!$A57,Scoring!$D:$D,0))</f>
        <v>Bus stop proximity to other bus services</v>
      </c>
      <c r="C57" s="154" t="s">
        <v>321</v>
      </c>
      <c r="D57" s="323"/>
      <c r="E57" s="156" t="s">
        <v>321</v>
      </c>
      <c r="F57" s="158" t="s">
        <v>321</v>
      </c>
      <c r="G57" s="155" t="s">
        <v>321</v>
      </c>
      <c r="H57" s="159" t="s">
        <v>321</v>
      </c>
      <c r="I57" s="160" t="s">
        <v>321</v>
      </c>
    </row>
    <row r="58" spans="1:9" ht="15.5" x14ac:dyDescent="0.35">
      <c r="A58" s="137"/>
      <c r="B58" s="9" t="s">
        <v>231</v>
      </c>
      <c r="C58" s="10"/>
      <c r="D58" s="10"/>
      <c r="E58" s="10"/>
      <c r="F58" s="10"/>
      <c r="G58" s="10"/>
      <c r="H58" s="10"/>
      <c r="I58" s="138"/>
    </row>
    <row r="59" spans="1:9" x14ac:dyDescent="0.35">
      <c r="A59" s="132">
        <f>A57+1</f>
        <v>47</v>
      </c>
      <c r="B59" s="4" t="str">
        <f>INDEX(Scoring!$H:$H,MATCH('How the score is generated (P)'!$A59,Scoring!$D:$D,0))</f>
        <v>Street design influences bus journey time and reliability</v>
      </c>
      <c r="D59" s="157" t="s">
        <v>321</v>
      </c>
      <c r="E59" s="156" t="s">
        <v>321</v>
      </c>
      <c r="F59" s="158" t="s">
        <v>321</v>
      </c>
      <c r="G59" s="155" t="s">
        <v>321</v>
      </c>
      <c r="H59" s="159" t="s">
        <v>321</v>
      </c>
      <c r="I59" s="160" t="s">
        <v>321</v>
      </c>
    </row>
    <row r="60" spans="1:9" ht="26" x14ac:dyDescent="0.35">
      <c r="A60" s="134">
        <f>A59+1</f>
        <v>48</v>
      </c>
      <c r="B60" s="5" t="str">
        <f>INDEX(Scoring!$H:$H,MATCH('How the score is generated (P)'!$A60,Scoring!$D:$D,0))</f>
        <v>Degree to which bus stop zone is universally accessible for people using the stop and people passing by</v>
      </c>
      <c r="C60" s="154" t="s">
        <v>321</v>
      </c>
      <c r="D60" s="3"/>
      <c r="E60" s="156" t="s">
        <v>321</v>
      </c>
      <c r="F60" s="158" t="s">
        <v>321</v>
      </c>
      <c r="G60" s="155" t="s">
        <v>321</v>
      </c>
      <c r="H60" s="159" t="s">
        <v>321</v>
      </c>
      <c r="I60" s="160" t="s">
        <v>321</v>
      </c>
    </row>
    <row r="61" spans="1:9" ht="15.5" x14ac:dyDescent="0.35">
      <c r="A61" s="132">
        <f>A60+1</f>
        <v>49</v>
      </c>
      <c r="B61" s="4" t="str">
        <f>INDEX(Scoring!$H:$H,MATCH('How the score is generated (P)'!$A61,Scoring!$D:$D,0))</f>
        <v>Waiting space, shelter and seating at bus stop</v>
      </c>
      <c r="C61" s="3"/>
      <c r="D61" s="3"/>
      <c r="E61" s="156" t="s">
        <v>321</v>
      </c>
      <c r="F61" s="158" t="s">
        <v>321</v>
      </c>
      <c r="G61" s="155" t="s">
        <v>321</v>
      </c>
      <c r="H61" s="159" t="s">
        <v>321</v>
      </c>
      <c r="I61" s="160" t="s">
        <v>321</v>
      </c>
    </row>
    <row r="62" spans="1:9" ht="15.5" x14ac:dyDescent="0.35">
      <c r="A62" s="134">
        <f>A61+1</f>
        <v>50</v>
      </c>
      <c r="B62" s="5" t="str">
        <f>INDEX(Scoring!$H:$H,MATCH('How the score is generated (P)'!$A62,Scoring!$D:$D,0))</f>
        <v>Customer information at bus stop</v>
      </c>
      <c r="C62" s="3"/>
      <c r="D62" s="3"/>
      <c r="E62" s="156" t="s">
        <v>321</v>
      </c>
      <c r="F62" s="158" t="s">
        <v>321</v>
      </c>
      <c r="G62" s="155" t="s">
        <v>321</v>
      </c>
      <c r="H62" s="159" t="s">
        <v>321</v>
      </c>
      <c r="I62" s="160" t="s">
        <v>321</v>
      </c>
    </row>
    <row r="63" spans="1:9" ht="15.5" x14ac:dyDescent="0.35">
      <c r="A63" s="132">
        <f>A62+1</f>
        <v>51</v>
      </c>
      <c r="B63" s="4" t="str">
        <f>INDEX(Scoring!$H:$H,MATCH('How the score is generated (P)'!$A63,Scoring!$D:$D,0))</f>
        <v>Perception of safety at stop</v>
      </c>
      <c r="C63" s="154" t="s">
        <v>321</v>
      </c>
      <c r="D63" s="157" t="s">
        <v>321</v>
      </c>
      <c r="E63" s="156" t="s">
        <v>321</v>
      </c>
      <c r="F63" s="158" t="s">
        <v>321</v>
      </c>
      <c r="G63" s="155" t="s">
        <v>321</v>
      </c>
      <c r="H63" s="159" t="s">
        <v>321</v>
      </c>
      <c r="I63" s="133"/>
    </row>
    <row r="64" spans="1:9" ht="15.5" x14ac:dyDescent="0.35">
      <c r="A64" s="134">
        <f>A63+1</f>
        <v>52</v>
      </c>
      <c r="B64" s="5" t="str">
        <f>INDEX(Scoring!$H:$H,MATCH('How the score is generated (P)'!$A64,Scoring!$D:$D,0))</f>
        <v>Bus priority measures - bus lanes, bus gates etc.</v>
      </c>
      <c r="C64" s="3"/>
      <c r="D64" s="3"/>
      <c r="E64" s="156" t="s">
        <v>321</v>
      </c>
      <c r="F64" s="323"/>
      <c r="G64" s="3"/>
      <c r="H64" s="323"/>
      <c r="I64" s="133"/>
    </row>
    <row r="65" spans="1:9" ht="15.5" x14ac:dyDescent="0.35">
      <c r="A65" s="137"/>
      <c r="B65" s="9" t="s">
        <v>253</v>
      </c>
      <c r="C65" s="10"/>
      <c r="D65" s="10"/>
      <c r="E65" s="10"/>
      <c r="F65" s="10"/>
      <c r="G65" s="10"/>
      <c r="H65" s="10"/>
      <c r="I65" s="138"/>
    </row>
    <row r="66" spans="1:9" ht="15.5" x14ac:dyDescent="0.35">
      <c r="A66" s="132">
        <f>A64+1</f>
        <v>53</v>
      </c>
      <c r="B66" s="4" t="str">
        <f>INDEX(Scoring!$H:$H,MATCH('How the score is generated (P)'!$A66,Scoring!$D:$D,0))</f>
        <v>Effective width next to a tramline on straight or curved section</v>
      </c>
      <c r="C66" s="329"/>
      <c r="D66" s="3"/>
      <c r="E66" s="3"/>
      <c r="F66" s="323"/>
      <c r="G66" s="3"/>
      <c r="H66" s="3"/>
      <c r="I66" s="133"/>
    </row>
    <row r="67" spans="1:9" ht="15.5" x14ac:dyDescent="0.35">
      <c r="A67" s="134">
        <f>A66+1</f>
        <v>54</v>
      </c>
      <c r="B67" s="5" t="str">
        <f>INDEX(Scoring!$H:$H,MATCH('How the score is generated (P)'!$A67,Scoring!$D:$D,0))</f>
        <v>Crossing angle</v>
      </c>
      <c r="C67" s="329"/>
      <c r="D67" s="3"/>
      <c r="E67" s="3"/>
      <c r="F67" s="323"/>
      <c r="G67" s="3"/>
      <c r="H67" s="3"/>
      <c r="I67" s="133"/>
    </row>
    <row r="68" spans="1:9" x14ac:dyDescent="0.35">
      <c r="A68" s="135"/>
      <c r="B68" s="638" t="s">
        <v>322</v>
      </c>
      <c r="C68" s="638"/>
      <c r="D68" s="638"/>
      <c r="E68" s="638"/>
      <c r="F68" s="638"/>
      <c r="G68" s="638"/>
      <c r="H68" s="638"/>
      <c r="I68" s="639"/>
    </row>
    <row r="69" spans="1:9" ht="15.5" x14ac:dyDescent="0.35">
      <c r="A69" s="132">
        <f>A67+1</f>
        <v>55</v>
      </c>
      <c r="B69" s="4" t="str">
        <f>INDEX(Scoring!$H:$H,MATCH('How the score is generated (P)'!$A69,Scoring!$D:$D,0))</f>
        <v>Width of shared use path</v>
      </c>
      <c r="C69" s="329"/>
      <c r="D69" s="157" t="s">
        <v>321</v>
      </c>
      <c r="E69" s="323"/>
      <c r="F69" s="158" t="s">
        <v>321</v>
      </c>
      <c r="G69" s="155" t="s">
        <v>321</v>
      </c>
      <c r="H69" s="159" t="s">
        <v>321</v>
      </c>
      <c r="I69" s="133"/>
    </row>
    <row r="70" spans="1:9" ht="15.5" x14ac:dyDescent="0.35">
      <c r="A70" s="134">
        <f>A69+1</f>
        <v>56</v>
      </c>
      <c r="B70" s="5" t="str">
        <f>INDEX(Scoring!$H:$H,MATCH('How the score is generated (P)'!$A70,Scoring!$D:$D,0))</f>
        <v>Degree to which access controls are universally accessible</v>
      </c>
      <c r="C70" s="3"/>
      <c r="D70" s="157" t="s">
        <v>321</v>
      </c>
      <c r="E70" s="323"/>
      <c r="F70" s="158" t="s">
        <v>321</v>
      </c>
      <c r="G70" s="155" t="s">
        <v>321</v>
      </c>
      <c r="H70" s="159" t="s">
        <v>321</v>
      </c>
      <c r="I70" s="133"/>
    </row>
    <row r="71" spans="1:9" ht="15.5" x14ac:dyDescent="0.35">
      <c r="A71" s="132">
        <f>A70+1</f>
        <v>57</v>
      </c>
      <c r="B71" s="4" t="str">
        <f>INDEX(Scoring!$H:$H,MATCH('How the score is generated (P)'!$A71,Scoring!$D:$D,0))</f>
        <v>Surface/construction type</v>
      </c>
      <c r="C71" s="3"/>
      <c r="D71" s="3"/>
      <c r="E71" s="323"/>
      <c r="F71" s="3"/>
      <c r="G71" s="3"/>
      <c r="I71" s="133"/>
    </row>
    <row r="72" spans="1:9" ht="15.5" x14ac:dyDescent="0.35">
      <c r="A72" s="134">
        <f>A71+1</f>
        <v>58</v>
      </c>
      <c r="B72" s="5" t="str">
        <f>INDEX(Scoring!$H:$H,MATCH('How the score is generated (P)'!$A72,Scoring!$D:$D,0))</f>
        <v>Standard of lighting</v>
      </c>
      <c r="C72" s="154" t="s">
        <v>321</v>
      </c>
      <c r="D72" s="157" t="s">
        <v>321</v>
      </c>
      <c r="E72" s="323"/>
      <c r="F72" s="158" t="s">
        <v>321</v>
      </c>
      <c r="G72" s="155" t="s">
        <v>321</v>
      </c>
      <c r="H72" s="159" t="s">
        <v>321</v>
      </c>
      <c r="I72" s="133"/>
    </row>
    <row r="73" spans="1:9" x14ac:dyDescent="0.35">
      <c r="A73" s="132">
        <f>A72+1</f>
        <v>59</v>
      </c>
      <c r="B73" s="4" t="str">
        <f>INDEX(Scoring!$H:$H,MATCH('How the score is generated (P)'!$A73,Scoring!$D:$D,0))</f>
        <v>Existing steps or new/upgraded structures</v>
      </c>
      <c r="C73" s="322"/>
      <c r="D73" s="323"/>
      <c r="E73" s="323"/>
      <c r="F73" s="158" t="s">
        <v>321</v>
      </c>
      <c r="G73" s="155" t="s">
        <v>321</v>
      </c>
      <c r="H73" s="159" t="s">
        <v>321</v>
      </c>
      <c r="I73" s="160" t="s">
        <v>321</v>
      </c>
    </row>
    <row r="74" spans="1:9" x14ac:dyDescent="0.35">
      <c r="A74" s="139"/>
      <c r="B74" s="140" t="s">
        <v>323</v>
      </c>
      <c r="C74" s="141">
        <f>COUNTIF(C6:C73,"ü")*2</f>
        <v>44</v>
      </c>
      <c r="D74" s="141">
        <f t="shared" ref="D74:I74" si="3">COUNTIF(D6:D73,"ü")*2</f>
        <v>20</v>
      </c>
      <c r="E74" s="141">
        <f t="shared" si="3"/>
        <v>38</v>
      </c>
      <c r="F74" s="141">
        <f t="shared" si="3"/>
        <v>64</v>
      </c>
      <c r="G74" s="141">
        <f t="shared" si="3"/>
        <v>58</v>
      </c>
      <c r="H74" s="141">
        <f t="shared" si="3"/>
        <v>54</v>
      </c>
      <c r="I74" s="142">
        <f t="shared" si="3"/>
        <v>36</v>
      </c>
    </row>
    <row r="75" spans="1:9" ht="14.5" customHeight="1" x14ac:dyDescent="0.35"/>
    <row r="76" spans="1:9" x14ac:dyDescent="0.35"/>
    <row r="77" spans="1:9" ht="14.5" customHeight="1" x14ac:dyDescent="0.35"/>
  </sheetData>
  <sheetProtection selectLockedCells="1"/>
  <mergeCells count="10">
    <mergeCell ref="B26:I26"/>
    <mergeCell ref="B40:I40"/>
    <mergeCell ref="B52:I52"/>
    <mergeCell ref="B68:I68"/>
    <mergeCell ref="A1:B3"/>
    <mergeCell ref="C3:I3"/>
    <mergeCell ref="A4:B4"/>
    <mergeCell ref="B5:I5"/>
    <mergeCell ref="B11:I11"/>
    <mergeCell ref="B18:I18"/>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21F16-4A83-4C73-B860-20B9F5634190}">
  <sheetPr>
    <tabColor rgb="FFFF7D7D"/>
  </sheetPr>
  <dimension ref="A1:AI92"/>
  <sheetViews>
    <sheetView workbookViewId="0"/>
  </sheetViews>
  <sheetFormatPr defaultRowHeight="14.5" x14ac:dyDescent="0.35"/>
  <cols>
    <col min="2" max="2" width="0" hidden="1" customWidth="1"/>
    <col min="3" max="3" width="8.54296875" bestFit="1" customWidth="1"/>
    <col min="4" max="4" width="6.453125" customWidth="1"/>
    <col min="5" max="6" width="6.81640625" hidden="1" customWidth="1"/>
    <col min="7" max="7" width="43.81640625" customWidth="1"/>
    <col min="8" max="8" width="21.81640625" bestFit="1" customWidth="1"/>
    <col min="9" max="9" width="30.1796875" bestFit="1" customWidth="1"/>
    <col min="10" max="10" width="18.54296875" bestFit="1" customWidth="1"/>
    <col min="11" max="11" width="19.54296875" bestFit="1" customWidth="1"/>
    <col min="12" max="12" width="17.453125" bestFit="1" customWidth="1"/>
    <col min="13" max="13" width="19" bestFit="1" customWidth="1"/>
    <col min="15" max="17" width="25.1796875" style="280" customWidth="1"/>
    <col min="18" max="18" width="11.453125" style="280" customWidth="1"/>
    <col min="19" max="20" width="19.1796875" customWidth="1"/>
    <col min="21" max="21" width="56.81640625" customWidth="1"/>
    <col min="22" max="22" width="5.81640625" customWidth="1"/>
    <col min="23" max="23" width="25.1796875" style="280" customWidth="1"/>
    <col min="24" max="24" width="8.1796875" style="280" customWidth="1"/>
    <col min="25" max="27" width="19.1796875" hidden="1" customWidth="1"/>
    <col min="28" max="28" width="71.1796875" hidden="1" customWidth="1"/>
    <col min="29" max="29" width="39.81640625" hidden="1" customWidth="1"/>
    <col min="30" max="31" width="19.1796875" hidden="1" customWidth="1"/>
    <col min="33" max="33" width="8.81640625" style="288"/>
    <col min="34" max="34" width="48.81640625" style="288" customWidth="1"/>
    <col min="35" max="35" width="69" customWidth="1"/>
  </cols>
  <sheetData>
    <row r="1" spans="1:35" ht="15.5" x14ac:dyDescent="0.35">
      <c r="A1" s="23"/>
      <c r="B1" s="18"/>
      <c r="C1" s="25"/>
      <c r="D1" s="25"/>
      <c r="E1" s="25"/>
      <c r="F1" s="25"/>
      <c r="G1" s="162"/>
      <c r="H1" s="25"/>
      <c r="I1" s="25"/>
      <c r="J1" s="25"/>
      <c r="K1" s="25"/>
      <c r="L1" s="25"/>
      <c r="M1" s="25"/>
    </row>
    <row r="2" spans="1:35" ht="15.5" x14ac:dyDescent="0.35">
      <c r="A2" s="23"/>
      <c r="B2" s="23"/>
      <c r="C2" s="23"/>
      <c r="D2" s="23"/>
      <c r="E2" s="23"/>
      <c r="F2" s="23"/>
      <c r="G2" s="233"/>
      <c r="H2" s="242" t="s">
        <v>463</v>
      </c>
      <c r="I2" s="269"/>
      <c r="J2" s="234" t="s">
        <v>543</v>
      </c>
      <c r="K2" s="235" t="s">
        <v>561</v>
      </c>
      <c r="L2" s="236" t="s">
        <v>562</v>
      </c>
      <c r="M2" s="54"/>
    </row>
    <row r="3" spans="1:35" ht="65.150000000000006" customHeight="1" x14ac:dyDescent="0.35">
      <c r="A3" s="23"/>
      <c r="B3" s="23"/>
      <c r="C3" s="23"/>
      <c r="D3" s="23"/>
      <c r="E3" s="23"/>
      <c r="F3" s="23"/>
      <c r="G3" s="233"/>
      <c r="H3" s="233"/>
      <c r="I3" s="270"/>
      <c r="J3" s="243" t="s">
        <v>480</v>
      </c>
      <c r="K3" s="244" t="s">
        <v>481</v>
      </c>
      <c r="L3" s="245" t="s">
        <v>482</v>
      </c>
      <c r="M3" s="54"/>
      <c r="O3" s="657" t="s">
        <v>812</v>
      </c>
      <c r="P3" s="657"/>
      <c r="Q3" s="657"/>
      <c r="R3" s="281"/>
      <c r="S3" s="658" t="s">
        <v>857</v>
      </c>
      <c r="T3" s="658"/>
      <c r="U3" s="658"/>
      <c r="V3" s="658"/>
    </row>
    <row r="4" spans="1:35" ht="21.5" thickBot="1" x14ac:dyDescent="0.4">
      <c r="A4" s="23"/>
      <c r="B4" s="18"/>
      <c r="C4" s="19"/>
      <c r="D4" s="23"/>
      <c r="E4" s="19"/>
      <c r="F4" s="19"/>
      <c r="G4" s="20"/>
      <c r="H4" s="20"/>
      <c r="I4" s="262"/>
      <c r="J4" s="20"/>
      <c r="K4" s="20"/>
      <c r="L4" s="20"/>
      <c r="M4" s="23"/>
      <c r="S4" s="336"/>
      <c r="T4" s="336"/>
      <c r="U4" s="336"/>
      <c r="V4" s="336"/>
    </row>
    <row r="5" spans="1:35" ht="16" thickBot="1" x14ac:dyDescent="0.4">
      <c r="A5" s="23"/>
      <c r="B5" s="18"/>
      <c r="C5" s="502"/>
      <c r="D5" s="502"/>
      <c r="E5" s="503" t="s">
        <v>12</v>
      </c>
      <c r="F5" s="504" t="s">
        <v>13</v>
      </c>
      <c r="G5" s="521" t="s">
        <v>14</v>
      </c>
      <c r="H5" s="520" t="s">
        <v>529</v>
      </c>
      <c r="I5" s="667" t="s">
        <v>572</v>
      </c>
      <c r="J5" s="670" t="s">
        <v>543</v>
      </c>
      <c r="K5" s="516">
        <v>0</v>
      </c>
      <c r="L5" s="517">
        <v>1</v>
      </c>
      <c r="M5" s="518">
        <v>2</v>
      </c>
      <c r="O5" s="674">
        <v>0</v>
      </c>
      <c r="P5" s="677">
        <v>1</v>
      </c>
      <c r="Q5" s="671">
        <v>2</v>
      </c>
    </row>
    <row r="6" spans="1:35" ht="16" thickBot="1" x14ac:dyDescent="0.4">
      <c r="A6" s="23"/>
      <c r="B6" s="18"/>
      <c r="C6" s="502"/>
      <c r="D6" s="502"/>
      <c r="E6" s="682"/>
      <c r="F6" s="684"/>
      <c r="G6" s="686"/>
      <c r="H6" s="665"/>
      <c r="I6" s="668"/>
      <c r="J6" s="670"/>
      <c r="K6" s="659"/>
      <c r="L6" s="661"/>
      <c r="M6" s="663"/>
      <c r="O6" s="675"/>
      <c r="P6" s="678"/>
      <c r="Q6" s="672"/>
    </row>
    <row r="7" spans="1:35" ht="16" thickBot="1" x14ac:dyDescent="0.4">
      <c r="A7" s="23"/>
      <c r="B7" s="18"/>
      <c r="C7" s="502" t="s">
        <v>28</v>
      </c>
      <c r="D7" s="502"/>
      <c r="E7" s="683"/>
      <c r="F7" s="685"/>
      <c r="G7" s="687"/>
      <c r="H7" s="666"/>
      <c r="I7" s="669"/>
      <c r="J7" s="670"/>
      <c r="K7" s="660"/>
      <c r="L7" s="662"/>
      <c r="M7" s="664"/>
      <c r="O7" s="676"/>
      <c r="P7" s="679"/>
      <c r="Q7" s="673"/>
    </row>
    <row r="8" spans="1:35" ht="16" thickBot="1" x14ac:dyDescent="0.4">
      <c r="A8" s="23"/>
      <c r="B8" s="18"/>
      <c r="C8" s="25"/>
      <c r="D8" s="25"/>
      <c r="E8" s="25"/>
      <c r="F8" s="25"/>
      <c r="G8" s="246" t="s">
        <v>29</v>
      </c>
      <c r="H8" s="24"/>
      <c r="I8" s="24"/>
      <c r="J8" s="24"/>
      <c r="K8" s="25"/>
      <c r="L8" s="25"/>
      <c r="M8" s="25"/>
    </row>
    <row r="9" spans="1:35" ht="31.5" thickBot="1" x14ac:dyDescent="0.4">
      <c r="A9" s="23"/>
      <c r="B9" s="26"/>
      <c r="C9" s="27"/>
      <c r="D9" s="27"/>
      <c r="E9" s="27"/>
      <c r="F9" s="27"/>
      <c r="G9" s="522" t="s">
        <v>30</v>
      </c>
      <c r="H9" s="655"/>
      <c r="I9" s="655"/>
      <c r="J9" s="655"/>
      <c r="K9" s="655"/>
      <c r="L9" s="655"/>
      <c r="M9" s="656"/>
      <c r="O9" s="282" t="s">
        <v>731</v>
      </c>
      <c r="P9" s="283" t="s">
        <v>732</v>
      </c>
      <c r="Q9" s="374" t="s">
        <v>733</v>
      </c>
      <c r="S9" s="282" t="s">
        <v>856</v>
      </c>
      <c r="T9" s="283" t="s">
        <v>573</v>
      </c>
      <c r="U9" s="283" t="s">
        <v>805</v>
      </c>
      <c r="V9" s="284"/>
      <c r="W9" s="285" t="s">
        <v>17</v>
      </c>
      <c r="X9" s="286"/>
      <c r="Y9" s="287"/>
      <c r="Z9" s="287" t="s">
        <v>320</v>
      </c>
      <c r="AA9" s="287" t="s">
        <v>320</v>
      </c>
      <c r="AB9" s="287" t="s">
        <v>324</v>
      </c>
      <c r="AC9" s="287" t="s">
        <v>325</v>
      </c>
      <c r="AD9" s="287" t="s">
        <v>326</v>
      </c>
      <c r="AE9" s="287" t="s">
        <v>326</v>
      </c>
      <c r="AH9" s="680" t="s">
        <v>806</v>
      </c>
      <c r="AI9" s="681"/>
    </row>
    <row r="10" spans="1:35" ht="159.5" x14ac:dyDescent="0.35">
      <c r="A10" s="23"/>
      <c r="B10" s="31"/>
      <c r="C10" s="32" t="s">
        <v>38</v>
      </c>
      <c r="D10" s="163">
        <v>1</v>
      </c>
      <c r="E10" s="33" t="s">
        <v>39</v>
      </c>
      <c r="F10" s="167" t="s">
        <v>20</v>
      </c>
      <c r="G10" s="173" t="s">
        <v>536</v>
      </c>
      <c r="H10" s="174" t="s">
        <v>40</v>
      </c>
      <c r="I10" s="271"/>
      <c r="J10" s="175" t="s">
        <v>537</v>
      </c>
      <c r="K10" s="230" t="s">
        <v>41</v>
      </c>
      <c r="L10" s="174" t="s">
        <v>495</v>
      </c>
      <c r="M10" s="176" t="s">
        <v>42</v>
      </c>
      <c r="O10" s="290" t="s">
        <v>828</v>
      </c>
      <c r="P10" s="290" t="s">
        <v>574</v>
      </c>
      <c r="Q10" s="291" t="s">
        <v>575</v>
      </c>
      <c r="S10" s="289" t="s">
        <v>576</v>
      </c>
      <c r="T10" s="290" t="s">
        <v>702</v>
      </c>
      <c r="U10" s="290" t="s">
        <v>814</v>
      </c>
      <c r="V10" s="292"/>
      <c r="W10" s="293"/>
      <c r="Y10" s="294">
        <v>1</v>
      </c>
      <c r="Z10" s="295" t="s">
        <v>577</v>
      </c>
      <c r="AA10" s="294" t="s">
        <v>40</v>
      </c>
      <c r="AB10" s="294" t="s">
        <v>327</v>
      </c>
      <c r="AC10" s="294" t="s">
        <v>400</v>
      </c>
      <c r="AD10" s="294" t="s">
        <v>401</v>
      </c>
      <c r="AE10" s="296" t="s">
        <v>402</v>
      </c>
      <c r="AH10" s="375" t="s">
        <v>725</v>
      </c>
      <c r="AI10" s="372" t="s">
        <v>808</v>
      </c>
    </row>
    <row r="11" spans="1:35" ht="159.5" x14ac:dyDescent="0.35">
      <c r="A11" s="23"/>
      <c r="B11" s="31"/>
      <c r="C11" s="37" t="s">
        <v>38</v>
      </c>
      <c r="D11" s="164">
        <v>2</v>
      </c>
      <c r="E11" s="38" t="s">
        <v>43</v>
      </c>
      <c r="F11" s="168" t="s">
        <v>20</v>
      </c>
      <c r="G11" s="39" t="s">
        <v>44</v>
      </c>
      <c r="H11" s="41" t="s">
        <v>44</v>
      </c>
      <c r="I11" s="272" t="s">
        <v>539</v>
      </c>
      <c r="J11" s="40" t="s">
        <v>538</v>
      </c>
      <c r="K11" s="41" t="s">
        <v>45</v>
      </c>
      <c r="L11" s="41" t="s">
        <v>46</v>
      </c>
      <c r="M11" s="42" t="s">
        <v>47</v>
      </c>
      <c r="O11" s="298" t="s">
        <v>829</v>
      </c>
      <c r="P11" s="290" t="s">
        <v>574</v>
      </c>
      <c r="Q11" s="299" t="s">
        <v>575</v>
      </c>
      <c r="S11" s="297" t="s">
        <v>579</v>
      </c>
      <c r="T11" s="298" t="s">
        <v>583</v>
      </c>
      <c r="U11" s="290" t="s">
        <v>814</v>
      </c>
      <c r="V11" s="300"/>
      <c r="W11" s="301"/>
      <c r="Y11" s="302">
        <v>2</v>
      </c>
      <c r="Z11" s="295" t="s">
        <v>44</v>
      </c>
      <c r="AA11" s="302" t="s">
        <v>44</v>
      </c>
      <c r="AB11" s="302" t="s">
        <v>404</v>
      </c>
      <c r="AC11" s="302" t="s">
        <v>328</v>
      </c>
      <c r="AD11" s="303" t="s">
        <v>380</v>
      </c>
      <c r="AE11" s="302"/>
      <c r="AH11" s="375" t="s">
        <v>801</v>
      </c>
      <c r="AI11" s="372" t="s">
        <v>810</v>
      </c>
    </row>
    <row r="12" spans="1:35" ht="145" x14ac:dyDescent="0.35">
      <c r="A12" s="23"/>
      <c r="B12" s="31"/>
      <c r="C12" s="43" t="s">
        <v>38</v>
      </c>
      <c r="D12" s="164">
        <v>3</v>
      </c>
      <c r="E12" s="44" t="s">
        <v>39</v>
      </c>
      <c r="F12" s="168" t="s">
        <v>20</v>
      </c>
      <c r="G12" s="39" t="s">
        <v>542</v>
      </c>
      <c r="H12" s="41" t="s">
        <v>541</v>
      </c>
      <c r="I12" s="272">
        <v>3.7</v>
      </c>
      <c r="J12" s="40" t="s">
        <v>540</v>
      </c>
      <c r="K12" s="41" t="s">
        <v>533</v>
      </c>
      <c r="L12" s="41" t="s">
        <v>535</v>
      </c>
      <c r="M12" s="42" t="s">
        <v>560</v>
      </c>
      <c r="O12" s="298" t="s">
        <v>830</v>
      </c>
      <c r="P12" s="298" t="s">
        <v>837</v>
      </c>
      <c r="Q12" s="299" t="s">
        <v>575</v>
      </c>
      <c r="S12" s="297" t="s">
        <v>768</v>
      </c>
      <c r="T12" s="298" t="s">
        <v>827</v>
      </c>
      <c r="U12" s="298" t="s">
        <v>815</v>
      </c>
      <c r="V12" s="300"/>
      <c r="W12" s="301"/>
      <c r="Y12" s="294">
        <v>3</v>
      </c>
      <c r="Z12" s="295" t="s">
        <v>581</v>
      </c>
      <c r="AA12" s="294" t="s">
        <v>582</v>
      </c>
      <c r="AB12" s="294" t="s">
        <v>378</v>
      </c>
      <c r="AC12" s="294" t="s">
        <v>329</v>
      </c>
      <c r="AD12" s="277"/>
      <c r="AE12" s="294"/>
      <c r="AH12" s="375" t="s">
        <v>798</v>
      </c>
      <c r="AI12" s="372" t="s">
        <v>813</v>
      </c>
    </row>
    <row r="13" spans="1:35" ht="87" x14ac:dyDescent="0.35">
      <c r="A13" s="23"/>
      <c r="B13" s="31"/>
      <c r="C13" s="43" t="s">
        <v>38</v>
      </c>
      <c r="D13" s="164">
        <v>4</v>
      </c>
      <c r="E13" s="38" t="s">
        <v>43</v>
      </c>
      <c r="F13" s="168" t="s">
        <v>20</v>
      </c>
      <c r="G13" s="39" t="s">
        <v>48</v>
      </c>
      <c r="H13" s="41" t="s">
        <v>496</v>
      </c>
      <c r="I13" s="272"/>
      <c r="J13" s="45"/>
      <c r="K13" s="41" t="s">
        <v>497</v>
      </c>
      <c r="L13" s="41" t="s">
        <v>498</v>
      </c>
      <c r="M13" s="42" t="s">
        <v>499</v>
      </c>
      <c r="O13" s="298" t="s">
        <v>734</v>
      </c>
      <c r="P13" s="298" t="s">
        <v>735</v>
      </c>
      <c r="Q13" s="299" t="s">
        <v>736</v>
      </c>
      <c r="S13" s="297" t="s">
        <v>769</v>
      </c>
      <c r="T13" s="298" t="s">
        <v>702</v>
      </c>
      <c r="U13" s="298" t="s">
        <v>816</v>
      </c>
      <c r="V13" s="300"/>
      <c r="W13" s="301"/>
      <c r="Y13" s="302">
        <v>4</v>
      </c>
      <c r="Z13" s="304" t="s">
        <v>48</v>
      </c>
      <c r="AA13" s="302" t="s">
        <v>584</v>
      </c>
      <c r="AB13" s="302" t="s">
        <v>403</v>
      </c>
      <c r="AC13" s="302" t="s">
        <v>369</v>
      </c>
      <c r="AD13" s="303" t="s">
        <v>437</v>
      </c>
      <c r="AE13" s="302"/>
      <c r="AH13" s="375" t="s">
        <v>799</v>
      </c>
      <c r="AI13" s="372" t="s">
        <v>854</v>
      </c>
    </row>
    <row r="14" spans="1:35" ht="130.5" thickBot="1" x14ac:dyDescent="0.4">
      <c r="A14" s="23"/>
      <c r="B14" s="31"/>
      <c r="C14" s="43" t="s">
        <v>38</v>
      </c>
      <c r="D14" s="165">
        <v>5</v>
      </c>
      <c r="E14" s="46" t="s">
        <v>39</v>
      </c>
      <c r="F14" s="169" t="s">
        <v>20</v>
      </c>
      <c r="G14" s="177" t="s">
        <v>49</v>
      </c>
      <c r="H14" s="178" t="s">
        <v>50</v>
      </c>
      <c r="I14" s="273"/>
      <c r="J14" s="179"/>
      <c r="K14" s="178" t="s">
        <v>51</v>
      </c>
      <c r="L14" s="178" t="s">
        <v>52</v>
      </c>
      <c r="M14" s="180" t="s">
        <v>500</v>
      </c>
      <c r="O14" s="298" t="s">
        <v>734</v>
      </c>
      <c r="P14" s="298" t="s">
        <v>735</v>
      </c>
      <c r="Q14" s="299" t="s">
        <v>736</v>
      </c>
      <c r="S14" s="297" t="s">
        <v>769</v>
      </c>
      <c r="T14" s="299" t="s">
        <v>736</v>
      </c>
      <c r="U14" s="298" t="s">
        <v>816</v>
      </c>
      <c r="V14" s="300"/>
      <c r="W14" s="301"/>
      <c r="Y14" s="294">
        <v>5</v>
      </c>
      <c r="Z14" s="305" t="s">
        <v>49</v>
      </c>
      <c r="AA14" s="294" t="s">
        <v>50</v>
      </c>
      <c r="AB14" s="294" t="s">
        <v>379</v>
      </c>
      <c r="AC14" s="294" t="s">
        <v>436</v>
      </c>
      <c r="AD14" s="294" t="s">
        <v>43</v>
      </c>
      <c r="AE14" s="294"/>
      <c r="AH14" s="375" t="s">
        <v>728</v>
      </c>
      <c r="AI14" s="372" t="s">
        <v>811</v>
      </c>
    </row>
    <row r="15" spans="1:35" ht="58.5" thickBot="1" x14ac:dyDescent="0.4">
      <c r="A15" s="23"/>
      <c r="B15" s="31"/>
      <c r="C15" s="47"/>
      <c r="D15" s="47"/>
      <c r="E15" s="47"/>
      <c r="F15" s="47"/>
      <c r="G15" s="171" t="s">
        <v>38</v>
      </c>
      <c r="H15" s="172"/>
      <c r="I15" s="263"/>
      <c r="J15" s="172"/>
      <c r="K15" s="172"/>
      <c r="L15" s="172"/>
      <c r="M15" s="172"/>
      <c r="O15" s="171"/>
      <c r="P15" s="171"/>
      <c r="Q15" s="171"/>
      <c r="S15" s="171"/>
      <c r="T15" s="172"/>
      <c r="U15" s="263"/>
      <c r="V15" s="172"/>
      <c r="W15" s="263"/>
      <c r="Y15" s="294"/>
      <c r="Z15" s="305"/>
      <c r="AA15" s="294"/>
      <c r="AB15" s="294"/>
      <c r="AC15" s="294"/>
      <c r="AD15" s="294"/>
      <c r="AE15" s="294"/>
      <c r="AH15" s="375" t="s">
        <v>726</v>
      </c>
      <c r="AI15" s="372" t="s">
        <v>824</v>
      </c>
    </row>
    <row r="16" spans="1:35" ht="29.5" thickBot="1" x14ac:dyDescent="0.4">
      <c r="A16" s="23"/>
      <c r="B16" s="31"/>
      <c r="C16" s="31"/>
      <c r="D16" s="31"/>
      <c r="E16" s="31"/>
      <c r="F16" s="31"/>
      <c r="G16" s="31"/>
      <c r="H16" s="31"/>
      <c r="I16" s="261"/>
      <c r="J16" s="31"/>
      <c r="K16" s="31"/>
      <c r="L16" s="31"/>
      <c r="M16" s="31"/>
      <c r="O16" s="31"/>
      <c r="P16" s="31"/>
      <c r="Q16" s="31"/>
      <c r="S16" s="31"/>
      <c r="T16" s="31"/>
      <c r="U16" s="261"/>
      <c r="V16" s="31"/>
      <c r="W16" s="261"/>
      <c r="Y16" s="294"/>
      <c r="Z16" s="305"/>
      <c r="AA16" s="294"/>
      <c r="AB16" s="294"/>
      <c r="AC16" s="294"/>
      <c r="AD16" s="294"/>
      <c r="AE16" s="294"/>
      <c r="AH16" s="376" t="s">
        <v>727</v>
      </c>
      <c r="AI16" s="373" t="s">
        <v>807</v>
      </c>
    </row>
    <row r="17" spans="1:31" ht="16" thickBot="1" x14ac:dyDescent="0.4">
      <c r="A17" s="23"/>
      <c r="B17" s="31"/>
      <c r="C17" s="52"/>
      <c r="D17" s="53"/>
      <c r="E17" s="53"/>
      <c r="F17" s="53"/>
      <c r="G17" s="522" t="s">
        <v>53</v>
      </c>
      <c r="H17" s="655"/>
      <c r="I17" s="655"/>
      <c r="J17" s="655"/>
      <c r="K17" s="655"/>
      <c r="L17" s="655"/>
      <c r="M17" s="656"/>
      <c r="O17" s="337"/>
      <c r="P17" s="337"/>
      <c r="Q17" s="337"/>
      <c r="S17" s="337"/>
      <c r="T17" s="338"/>
      <c r="U17" s="338"/>
      <c r="V17" s="338"/>
      <c r="W17" s="334"/>
      <c r="Y17" s="294"/>
      <c r="Z17" s="305"/>
      <c r="AA17" s="294"/>
      <c r="AB17" s="294"/>
      <c r="AC17" s="294"/>
      <c r="AD17" s="294"/>
      <c r="AE17" s="294"/>
    </row>
    <row r="18" spans="1:31" ht="101.5" x14ac:dyDescent="0.35">
      <c r="A18" s="23"/>
      <c r="B18" s="31"/>
      <c r="C18" s="43" t="s">
        <v>54</v>
      </c>
      <c r="D18" s="163">
        <f>D14+1</f>
        <v>6</v>
      </c>
      <c r="E18" s="33" t="s">
        <v>39</v>
      </c>
      <c r="F18" s="204" t="s">
        <v>43</v>
      </c>
      <c r="G18" s="173" t="s">
        <v>524</v>
      </c>
      <c r="H18" s="174" t="s">
        <v>528</v>
      </c>
      <c r="I18" s="271"/>
      <c r="J18" s="175" t="s">
        <v>525</v>
      </c>
      <c r="K18" s="174" t="s">
        <v>526</v>
      </c>
      <c r="L18" s="174" t="s">
        <v>527</v>
      </c>
      <c r="M18" s="176" t="s">
        <v>55</v>
      </c>
      <c r="O18" s="298" t="s">
        <v>831</v>
      </c>
      <c r="P18" s="298" t="s">
        <v>832</v>
      </c>
      <c r="Q18" s="299" t="s">
        <v>586</v>
      </c>
      <c r="S18" s="297" t="s">
        <v>587</v>
      </c>
      <c r="T18" s="298" t="s">
        <v>609</v>
      </c>
      <c r="U18" s="7" t="s">
        <v>858</v>
      </c>
      <c r="V18" s="300"/>
      <c r="W18" s="301"/>
      <c r="Y18" s="302">
        <v>6</v>
      </c>
      <c r="Z18" s="304" t="s">
        <v>588</v>
      </c>
      <c r="AA18" s="302" t="s">
        <v>589</v>
      </c>
      <c r="AB18" s="302" t="s">
        <v>467</v>
      </c>
      <c r="AC18" s="306" t="s">
        <v>464</v>
      </c>
      <c r="AD18" s="306"/>
      <c r="AE18" s="302"/>
    </row>
    <row r="19" spans="1:31" ht="117" customHeight="1" x14ac:dyDescent="0.35">
      <c r="A19" s="23"/>
      <c r="B19" s="31"/>
      <c r="C19" s="43" t="s">
        <v>54</v>
      </c>
      <c r="D19" s="164">
        <f>D18+1</f>
        <v>7</v>
      </c>
      <c r="E19" s="44" t="s">
        <v>39</v>
      </c>
      <c r="F19" s="38" t="s">
        <v>43</v>
      </c>
      <c r="G19" s="39" t="s">
        <v>56</v>
      </c>
      <c r="H19" s="41" t="s">
        <v>57</v>
      </c>
      <c r="I19" s="272">
        <v>3.2</v>
      </c>
      <c r="J19" s="40" t="s">
        <v>532</v>
      </c>
      <c r="K19" s="41" t="s">
        <v>531</v>
      </c>
      <c r="L19" s="41" t="s">
        <v>530</v>
      </c>
      <c r="M19" s="42" t="s">
        <v>534</v>
      </c>
      <c r="O19" s="298" t="s">
        <v>831</v>
      </c>
      <c r="P19" s="298" t="s">
        <v>832</v>
      </c>
      <c r="Q19" s="299" t="s">
        <v>586</v>
      </c>
      <c r="S19" s="297" t="s">
        <v>587</v>
      </c>
      <c r="T19" s="298" t="s">
        <v>609</v>
      </c>
      <c r="U19" s="298" t="s">
        <v>858</v>
      </c>
      <c r="V19" s="300"/>
      <c r="W19" s="301"/>
      <c r="Y19" s="294">
        <v>7</v>
      </c>
      <c r="Z19" s="305" t="s">
        <v>56</v>
      </c>
      <c r="AA19" s="294" t="s">
        <v>57</v>
      </c>
      <c r="AB19" s="294" t="s">
        <v>465</v>
      </c>
      <c r="AC19" s="294" t="s">
        <v>466</v>
      </c>
      <c r="AD19" s="307"/>
      <c r="AE19" s="294"/>
    </row>
    <row r="20" spans="1:31" ht="58" x14ac:dyDescent="0.35">
      <c r="A20" s="23"/>
      <c r="B20" s="31"/>
      <c r="C20" s="43" t="s">
        <v>54</v>
      </c>
      <c r="D20" s="164">
        <f>D19+1</f>
        <v>8</v>
      </c>
      <c r="E20" s="44" t="s">
        <v>39</v>
      </c>
      <c r="F20" s="38" t="s">
        <v>43</v>
      </c>
      <c r="G20" s="39" t="s">
        <v>58</v>
      </c>
      <c r="H20" s="41" t="s">
        <v>59</v>
      </c>
      <c r="I20" s="272"/>
      <c r="J20" s="45"/>
      <c r="K20" s="41" t="s">
        <v>60</v>
      </c>
      <c r="L20" s="41" t="s">
        <v>61</v>
      </c>
      <c r="M20" s="42" t="s">
        <v>62</v>
      </c>
      <c r="O20" s="298" t="s">
        <v>737</v>
      </c>
      <c r="P20" s="298" t="s">
        <v>738</v>
      </c>
      <c r="Q20" s="299" t="s">
        <v>739</v>
      </c>
      <c r="S20" s="297" t="s">
        <v>770</v>
      </c>
      <c r="T20" s="298" t="s">
        <v>771</v>
      </c>
      <c r="U20" s="298" t="s">
        <v>818</v>
      </c>
      <c r="V20" s="300"/>
      <c r="W20" s="301"/>
      <c r="Y20" s="302">
        <v>8</v>
      </c>
      <c r="Z20" s="304" t="s">
        <v>58</v>
      </c>
      <c r="AA20" s="302" t="s">
        <v>59</v>
      </c>
      <c r="AB20" s="302" t="s">
        <v>405</v>
      </c>
      <c r="AC20" s="302" t="s">
        <v>370</v>
      </c>
      <c r="AD20" s="302" t="s">
        <v>43</v>
      </c>
      <c r="AE20" s="302"/>
    </row>
    <row r="21" spans="1:31" ht="72.5" x14ac:dyDescent="0.35">
      <c r="A21" s="23"/>
      <c r="B21" s="31"/>
      <c r="C21" s="43" t="s">
        <v>54</v>
      </c>
      <c r="D21" s="164">
        <f>D20+1</f>
        <v>9</v>
      </c>
      <c r="E21" s="44" t="s">
        <v>39</v>
      </c>
      <c r="F21" s="38" t="s">
        <v>43</v>
      </c>
      <c r="G21" s="39" t="s">
        <v>63</v>
      </c>
      <c r="H21" s="41" t="s">
        <v>63</v>
      </c>
      <c r="I21" s="272"/>
      <c r="J21" s="45"/>
      <c r="K21" s="41" t="s">
        <v>64</v>
      </c>
      <c r="L21" s="41" t="s">
        <v>65</v>
      </c>
      <c r="M21" s="42" t="s">
        <v>66</v>
      </c>
      <c r="O21" s="298" t="s">
        <v>833</v>
      </c>
      <c r="P21" s="298" t="s">
        <v>819</v>
      </c>
      <c r="Q21" s="299" t="s">
        <v>820</v>
      </c>
      <c r="S21" s="297" t="s">
        <v>821</v>
      </c>
      <c r="T21" s="298" t="s">
        <v>609</v>
      </c>
      <c r="U21" s="298" t="s">
        <v>818</v>
      </c>
      <c r="V21" s="300"/>
      <c r="W21" s="301"/>
      <c r="Y21" s="294">
        <v>9</v>
      </c>
      <c r="Z21" s="305" t="s">
        <v>63</v>
      </c>
      <c r="AA21" s="294" t="s">
        <v>63</v>
      </c>
      <c r="AB21" s="280" t="s">
        <v>406</v>
      </c>
      <c r="AC21" s="294" t="s">
        <v>438</v>
      </c>
      <c r="AD21" s="308" t="s">
        <v>353</v>
      </c>
      <c r="AE21" s="294"/>
    </row>
    <row r="22" spans="1:31" ht="72.5" x14ac:dyDescent="0.35">
      <c r="A22" s="23"/>
      <c r="B22" s="31"/>
      <c r="C22" s="43" t="s">
        <v>54</v>
      </c>
      <c r="D22" s="164">
        <f>D21+1</f>
        <v>10</v>
      </c>
      <c r="E22" s="44" t="s">
        <v>39</v>
      </c>
      <c r="F22" s="38" t="s">
        <v>43</v>
      </c>
      <c r="G22" s="39" t="s">
        <v>67</v>
      </c>
      <c r="H22" s="41" t="s">
        <v>544</v>
      </c>
      <c r="I22" s="272"/>
      <c r="J22" s="45"/>
      <c r="K22" s="41" t="s">
        <v>68</v>
      </c>
      <c r="L22" s="41" t="s">
        <v>69</v>
      </c>
      <c r="M22" s="42" t="s">
        <v>70</v>
      </c>
      <c r="O22" s="298" t="s">
        <v>590</v>
      </c>
      <c r="P22" s="298" t="s">
        <v>590</v>
      </c>
      <c r="Q22" s="299" t="s">
        <v>590</v>
      </c>
      <c r="S22" s="297"/>
      <c r="T22" s="298"/>
      <c r="U22" s="298"/>
      <c r="V22" s="300"/>
      <c r="W22" s="301"/>
      <c r="Y22" s="302">
        <v>10</v>
      </c>
      <c r="Z22" s="304" t="s">
        <v>67</v>
      </c>
      <c r="AA22" s="302" t="s">
        <v>591</v>
      </c>
      <c r="AB22" s="302" t="s">
        <v>371</v>
      </c>
      <c r="AC22" s="302" t="s">
        <v>407</v>
      </c>
      <c r="AD22" s="302"/>
      <c r="AE22" s="302"/>
    </row>
    <row r="23" spans="1:31" ht="104" x14ac:dyDescent="0.35">
      <c r="A23" s="23"/>
      <c r="B23" s="31"/>
      <c r="C23" s="43" t="s">
        <v>54</v>
      </c>
      <c r="D23" s="164">
        <f>D22+1</f>
        <v>11</v>
      </c>
      <c r="E23" s="44" t="s">
        <v>39</v>
      </c>
      <c r="F23" s="38" t="s">
        <v>43</v>
      </c>
      <c r="G23" s="39" t="s">
        <v>546</v>
      </c>
      <c r="H23" s="41" t="s">
        <v>545</v>
      </c>
      <c r="I23" s="272"/>
      <c r="J23" s="41"/>
      <c r="K23" s="41" t="s">
        <v>549</v>
      </c>
      <c r="L23" s="41" t="s">
        <v>548</v>
      </c>
      <c r="M23" s="42" t="s">
        <v>547</v>
      </c>
      <c r="O23" s="298" t="s">
        <v>834</v>
      </c>
      <c r="P23" s="298" t="s">
        <v>835</v>
      </c>
      <c r="Q23" s="299" t="s">
        <v>740</v>
      </c>
      <c r="S23" s="297" t="s">
        <v>772</v>
      </c>
      <c r="T23" s="298" t="s">
        <v>773</v>
      </c>
      <c r="U23" s="298" t="s">
        <v>774</v>
      </c>
      <c r="V23" s="300"/>
      <c r="W23" s="301"/>
      <c r="Y23" s="294">
        <v>11</v>
      </c>
      <c r="Z23" s="295" t="s">
        <v>593</v>
      </c>
      <c r="AA23" s="294" t="s">
        <v>594</v>
      </c>
      <c r="AB23" s="294" t="s">
        <v>408</v>
      </c>
      <c r="AC23" s="294" t="s">
        <v>355</v>
      </c>
      <c r="AD23" s="308" t="s">
        <v>354</v>
      </c>
      <c r="AE23" s="280"/>
    </row>
    <row r="24" spans="1:31" ht="15" thickBot="1" x14ac:dyDescent="0.4">
      <c r="A24" s="23"/>
      <c r="B24" s="31"/>
      <c r="C24" s="47"/>
      <c r="D24" s="47"/>
      <c r="E24" s="47"/>
      <c r="F24" s="47"/>
      <c r="G24" s="171" t="s">
        <v>54</v>
      </c>
      <c r="H24" s="172"/>
      <c r="I24" s="263"/>
      <c r="J24" s="172"/>
      <c r="K24" s="172"/>
      <c r="L24" s="172"/>
      <c r="M24" s="172"/>
      <c r="N24" s="171"/>
      <c r="O24" s="263"/>
      <c r="P24" s="172"/>
      <c r="Q24" s="172"/>
      <c r="S24" s="171"/>
      <c r="T24" s="172"/>
      <c r="U24" s="263"/>
      <c r="V24" s="172"/>
      <c r="W24" s="263"/>
      <c r="Y24" s="294"/>
      <c r="Z24" s="295"/>
      <c r="AA24" s="294"/>
      <c r="AB24" s="294"/>
      <c r="AC24" s="294"/>
      <c r="AD24" s="308"/>
      <c r="AE24" s="280"/>
    </row>
    <row r="25" spans="1:31" ht="21.5" thickBot="1" x14ac:dyDescent="0.4">
      <c r="A25" s="23"/>
      <c r="B25" s="57"/>
      <c r="C25" s="58"/>
      <c r="D25" s="58"/>
      <c r="E25" s="58"/>
      <c r="F25" s="58"/>
      <c r="G25" s="59"/>
      <c r="H25" s="59"/>
      <c r="I25" s="264"/>
      <c r="J25" s="60"/>
      <c r="K25" s="61"/>
      <c r="L25" s="61"/>
      <c r="M25" s="61"/>
      <c r="N25" s="59"/>
      <c r="O25" s="264"/>
      <c r="P25" s="60"/>
      <c r="Q25" s="61"/>
      <c r="S25" s="59"/>
      <c r="T25" s="59"/>
      <c r="U25" s="264"/>
      <c r="V25" s="60"/>
      <c r="W25" s="264"/>
      <c r="Y25" s="294"/>
      <c r="Z25" s="295"/>
      <c r="AA25" s="294"/>
      <c r="AB25" s="294"/>
      <c r="AC25" s="294"/>
      <c r="AD25" s="308"/>
      <c r="AE25" s="280"/>
    </row>
    <row r="26" spans="1:31" ht="19" thickBot="1" x14ac:dyDescent="0.4">
      <c r="A26" s="23"/>
      <c r="B26" s="62"/>
      <c r="C26" s="63"/>
      <c r="D26" s="63"/>
      <c r="E26" s="63"/>
      <c r="F26" s="63"/>
      <c r="G26" s="522" t="s">
        <v>71</v>
      </c>
      <c r="H26" s="655"/>
      <c r="I26" s="655"/>
      <c r="J26" s="655"/>
      <c r="K26" s="655"/>
      <c r="L26" s="655"/>
      <c r="M26" s="656"/>
      <c r="N26" s="337"/>
      <c r="O26" s="338"/>
      <c r="P26" s="338"/>
      <c r="Q26" s="338"/>
      <c r="S26" s="337"/>
      <c r="T26" s="338"/>
      <c r="U26" s="338"/>
      <c r="V26" s="338"/>
      <c r="W26" s="334"/>
      <c r="Y26" s="294"/>
      <c r="Z26" s="295"/>
      <c r="AA26" s="294"/>
      <c r="AB26" s="294"/>
      <c r="AC26" s="294"/>
      <c r="AD26" s="308"/>
      <c r="AE26" s="280"/>
    </row>
    <row r="27" spans="1:31" ht="232" x14ac:dyDescent="0.35">
      <c r="A27" s="23"/>
      <c r="B27" s="31"/>
      <c r="C27" s="32" t="s">
        <v>72</v>
      </c>
      <c r="D27" s="163">
        <f>D23+1</f>
        <v>12</v>
      </c>
      <c r="E27" s="33" t="s">
        <v>39</v>
      </c>
      <c r="F27" s="197" t="s">
        <v>43</v>
      </c>
      <c r="G27" s="173" t="s">
        <v>73</v>
      </c>
      <c r="H27" s="174" t="s">
        <v>563</v>
      </c>
      <c r="I27" s="271" t="s">
        <v>565</v>
      </c>
      <c r="J27" s="175" t="s">
        <v>564</v>
      </c>
      <c r="K27" s="176" t="s">
        <v>568</v>
      </c>
      <c r="L27" s="176" t="s">
        <v>567</v>
      </c>
      <c r="M27" s="176" t="s">
        <v>566</v>
      </c>
      <c r="O27" s="298" t="s">
        <v>595</v>
      </c>
      <c r="P27" s="298" t="s">
        <v>596</v>
      </c>
      <c r="Q27" s="299" t="s">
        <v>596</v>
      </c>
      <c r="S27" s="297" t="s">
        <v>775</v>
      </c>
      <c r="T27" s="298" t="s">
        <v>597</v>
      </c>
      <c r="U27" s="298" t="s">
        <v>867</v>
      </c>
      <c r="V27" s="300"/>
      <c r="W27" s="301"/>
      <c r="Y27" s="294">
        <v>12</v>
      </c>
      <c r="Z27" s="295" t="s">
        <v>73</v>
      </c>
      <c r="AA27" s="294" t="s">
        <v>599</v>
      </c>
      <c r="AB27" s="294" t="s">
        <v>409</v>
      </c>
      <c r="AC27" s="294" t="s">
        <v>410</v>
      </c>
      <c r="AD27" s="296" t="s">
        <v>356</v>
      </c>
      <c r="AE27" s="294"/>
    </row>
    <row r="28" spans="1:31" ht="275.5" x14ac:dyDescent="0.35">
      <c r="A28" s="23"/>
      <c r="B28" s="64"/>
      <c r="C28" s="65" t="s">
        <v>72</v>
      </c>
      <c r="D28" s="164">
        <f t="shared" ref="D28:D33" si="0">D27+1</f>
        <v>13</v>
      </c>
      <c r="E28" s="44" t="s">
        <v>39</v>
      </c>
      <c r="F28" s="168" t="s">
        <v>20</v>
      </c>
      <c r="G28" s="39" t="s">
        <v>74</v>
      </c>
      <c r="H28" s="41" t="s">
        <v>75</v>
      </c>
      <c r="I28" s="272"/>
      <c r="J28" s="40" t="s">
        <v>76</v>
      </c>
      <c r="K28" s="41" t="s">
        <v>77</v>
      </c>
      <c r="L28" s="41" t="s">
        <v>78</v>
      </c>
      <c r="M28" s="42" t="s">
        <v>79</v>
      </c>
      <c r="O28" s="298" t="s">
        <v>741</v>
      </c>
      <c r="P28" s="298" t="s">
        <v>742</v>
      </c>
      <c r="Q28" s="299" t="s">
        <v>743</v>
      </c>
      <c r="S28" s="297" t="s">
        <v>790</v>
      </c>
      <c r="T28" s="298" t="s">
        <v>600</v>
      </c>
      <c r="U28" s="298" t="s">
        <v>868</v>
      </c>
      <c r="V28" s="300"/>
      <c r="W28" s="301"/>
      <c r="Y28" s="302">
        <v>13</v>
      </c>
      <c r="Z28" s="295" t="s">
        <v>74</v>
      </c>
      <c r="AA28" s="302" t="s">
        <v>75</v>
      </c>
      <c r="AB28" s="302" t="s">
        <v>468</v>
      </c>
      <c r="AC28" s="302" t="s">
        <v>333</v>
      </c>
      <c r="AD28" s="302" t="s">
        <v>43</v>
      </c>
      <c r="AE28" s="309" t="s">
        <v>601</v>
      </c>
    </row>
    <row r="29" spans="1:31" ht="104" x14ac:dyDescent="0.35">
      <c r="A29" s="23"/>
      <c r="B29" s="31"/>
      <c r="C29" s="66" t="s">
        <v>72</v>
      </c>
      <c r="D29" s="164">
        <f t="shared" si="0"/>
        <v>14</v>
      </c>
      <c r="E29" s="44" t="s">
        <v>39</v>
      </c>
      <c r="F29" s="168" t="s">
        <v>20</v>
      </c>
      <c r="G29" s="39" t="s">
        <v>80</v>
      </c>
      <c r="H29" s="41" t="s">
        <v>81</v>
      </c>
      <c r="I29" s="272"/>
      <c r="J29" s="40" t="s">
        <v>501</v>
      </c>
      <c r="K29" s="41" t="s">
        <v>82</v>
      </c>
      <c r="L29" s="41" t="s">
        <v>83</v>
      </c>
      <c r="M29" s="42" t="s">
        <v>84</v>
      </c>
      <c r="O29" s="298" t="s">
        <v>744</v>
      </c>
      <c r="P29" s="298" t="s">
        <v>745</v>
      </c>
      <c r="Q29" s="299" t="s">
        <v>746</v>
      </c>
      <c r="S29" s="297" t="s">
        <v>776</v>
      </c>
      <c r="T29" s="298" t="s">
        <v>602</v>
      </c>
      <c r="U29" s="298" t="s">
        <v>603</v>
      </c>
      <c r="V29" s="300"/>
      <c r="W29" s="301"/>
      <c r="Y29" s="294">
        <v>14</v>
      </c>
      <c r="Z29" s="295" t="s">
        <v>80</v>
      </c>
      <c r="AA29" s="294" t="s">
        <v>81</v>
      </c>
      <c r="AB29" s="294" t="s">
        <v>332</v>
      </c>
      <c r="AC29" s="294" t="s">
        <v>381</v>
      </c>
      <c r="AD29" s="296" t="s">
        <v>331</v>
      </c>
      <c r="AE29" s="280"/>
    </row>
    <row r="30" spans="1:31" ht="72.5" x14ac:dyDescent="0.35">
      <c r="A30" s="23"/>
      <c r="B30" s="31"/>
      <c r="C30" s="66" t="s">
        <v>72</v>
      </c>
      <c r="D30" s="164">
        <f t="shared" si="0"/>
        <v>15</v>
      </c>
      <c r="E30" s="44" t="s">
        <v>39</v>
      </c>
      <c r="F30" s="198" t="s">
        <v>43</v>
      </c>
      <c r="G30" s="39" t="s">
        <v>86</v>
      </c>
      <c r="H30" s="41" t="s">
        <v>502</v>
      </c>
      <c r="I30" s="272"/>
      <c r="J30" s="45"/>
      <c r="K30" s="41" t="s">
        <v>87</v>
      </c>
      <c r="L30" s="41" t="s">
        <v>88</v>
      </c>
      <c r="M30" s="42" t="s">
        <v>89</v>
      </c>
      <c r="O30" s="298"/>
      <c r="P30" s="298" t="s">
        <v>604</v>
      </c>
      <c r="Q30" s="299" t="s">
        <v>605</v>
      </c>
      <c r="S30" s="297" t="s">
        <v>826</v>
      </c>
      <c r="T30" s="298" t="s">
        <v>609</v>
      </c>
      <c r="U30" s="298"/>
      <c r="V30" s="300"/>
      <c r="W30" s="301"/>
      <c r="Y30" s="302">
        <v>15</v>
      </c>
      <c r="Z30" s="304" t="s">
        <v>86</v>
      </c>
      <c r="AA30" s="302" t="s">
        <v>606</v>
      </c>
      <c r="AB30" s="302" t="s">
        <v>411</v>
      </c>
      <c r="AC30" s="302" t="s">
        <v>382</v>
      </c>
      <c r="AD30" s="302" t="s">
        <v>43</v>
      </c>
      <c r="AE30" s="302"/>
    </row>
    <row r="31" spans="1:31" ht="72.5" x14ac:dyDescent="0.35">
      <c r="A31" s="23"/>
      <c r="B31" s="31"/>
      <c r="C31" s="66" t="s">
        <v>72</v>
      </c>
      <c r="D31" s="164">
        <f t="shared" si="0"/>
        <v>16</v>
      </c>
      <c r="E31" s="44" t="s">
        <v>39</v>
      </c>
      <c r="F31" s="198" t="s">
        <v>43</v>
      </c>
      <c r="G31" s="39" t="s">
        <v>90</v>
      </c>
      <c r="H31" s="41" t="s">
        <v>91</v>
      </c>
      <c r="I31" s="272"/>
      <c r="J31" s="45"/>
      <c r="K31" s="41" t="s">
        <v>92</v>
      </c>
      <c r="L31" s="41" t="s">
        <v>93</v>
      </c>
      <c r="M31" s="42" t="s">
        <v>94</v>
      </c>
      <c r="O31" s="298"/>
      <c r="P31" s="298" t="s">
        <v>607</v>
      </c>
      <c r="Q31" s="299" t="s">
        <v>607</v>
      </c>
      <c r="S31" s="297" t="s">
        <v>608</v>
      </c>
      <c r="T31" s="298" t="s">
        <v>609</v>
      </c>
      <c r="U31" s="298"/>
      <c r="V31" s="300"/>
      <c r="W31" s="301"/>
      <c r="Y31" s="294">
        <v>16</v>
      </c>
      <c r="Z31" s="305" t="s">
        <v>90</v>
      </c>
      <c r="AA31" s="294" t="s">
        <v>91</v>
      </c>
      <c r="AB31" s="294" t="s">
        <v>412</v>
      </c>
      <c r="AC31" s="294" t="s">
        <v>333</v>
      </c>
      <c r="AD31" s="308" t="s">
        <v>334</v>
      </c>
      <c r="AE31" s="280"/>
    </row>
    <row r="32" spans="1:31" ht="87" x14ac:dyDescent="0.35">
      <c r="A32" s="23"/>
      <c r="B32" s="31"/>
      <c r="C32" s="209" t="s">
        <v>72</v>
      </c>
      <c r="D32" s="164">
        <f t="shared" si="0"/>
        <v>17</v>
      </c>
      <c r="E32" s="44" t="s">
        <v>39</v>
      </c>
      <c r="F32" s="168" t="s">
        <v>20</v>
      </c>
      <c r="G32" s="39" t="s">
        <v>95</v>
      </c>
      <c r="H32" s="41" t="s">
        <v>95</v>
      </c>
      <c r="I32" s="272"/>
      <c r="J32" s="45"/>
      <c r="K32" s="41" t="s">
        <v>96</v>
      </c>
      <c r="L32" s="41" t="s">
        <v>97</v>
      </c>
      <c r="M32" s="42" t="s">
        <v>98</v>
      </c>
      <c r="O32" s="298"/>
      <c r="P32" s="298" t="s">
        <v>607</v>
      </c>
      <c r="Q32" s="299" t="s">
        <v>607</v>
      </c>
      <c r="S32" s="297" t="s">
        <v>825</v>
      </c>
      <c r="T32" s="298" t="s">
        <v>609</v>
      </c>
      <c r="U32" s="298" t="s">
        <v>818</v>
      </c>
      <c r="V32" s="300"/>
      <c r="W32" s="301"/>
      <c r="Y32" s="302">
        <v>17</v>
      </c>
      <c r="Z32" s="304" t="s">
        <v>95</v>
      </c>
      <c r="AA32" s="302" t="s">
        <v>95</v>
      </c>
      <c r="AB32" s="302" t="s">
        <v>488</v>
      </c>
      <c r="AC32" s="302" t="s">
        <v>357</v>
      </c>
      <c r="AD32" s="302" t="s">
        <v>610</v>
      </c>
      <c r="AE32" s="303" t="s">
        <v>439</v>
      </c>
    </row>
    <row r="33" spans="1:31" ht="116.5" thickBot="1" x14ac:dyDescent="0.4">
      <c r="A33" s="23"/>
      <c r="B33" s="31"/>
      <c r="C33" s="218" t="s">
        <v>72</v>
      </c>
      <c r="D33" s="211">
        <f t="shared" si="0"/>
        <v>18</v>
      </c>
      <c r="E33" s="212" t="s">
        <v>39</v>
      </c>
      <c r="F33" s="213" t="s">
        <v>20</v>
      </c>
      <c r="G33" s="214" t="s">
        <v>265</v>
      </c>
      <c r="H33" s="215" t="s">
        <v>265</v>
      </c>
      <c r="I33" s="274"/>
      <c r="J33" s="216" t="s">
        <v>266</v>
      </c>
      <c r="K33" s="215" t="s">
        <v>267</v>
      </c>
      <c r="L33" s="215" t="s">
        <v>268</v>
      </c>
      <c r="M33" s="217" t="s">
        <v>269</v>
      </c>
      <c r="O33" s="298" t="s">
        <v>838</v>
      </c>
      <c r="P33" s="298" t="s">
        <v>611</v>
      </c>
      <c r="Q33" s="299" t="s">
        <v>611</v>
      </c>
      <c r="S33" s="297" t="s">
        <v>612</v>
      </c>
      <c r="T33" s="298" t="s">
        <v>777</v>
      </c>
      <c r="U33" s="298" t="s">
        <v>816</v>
      </c>
      <c r="V33" s="300"/>
      <c r="W33" s="301"/>
      <c r="Y33" s="294">
        <v>18</v>
      </c>
      <c r="Z33" s="295" t="s">
        <v>265</v>
      </c>
      <c r="AA33" s="294" t="s">
        <v>265</v>
      </c>
      <c r="AB33" s="294" t="s">
        <v>413</v>
      </c>
      <c r="AC33" s="294" t="s">
        <v>358</v>
      </c>
      <c r="AD33" s="305" t="s">
        <v>440</v>
      </c>
      <c r="AE33" s="296" t="s">
        <v>441</v>
      </c>
    </row>
    <row r="34" spans="1:31" ht="15" thickBot="1" x14ac:dyDescent="0.4">
      <c r="A34" s="23"/>
      <c r="B34" s="31"/>
      <c r="C34" s="47"/>
      <c r="D34" s="47"/>
      <c r="E34" s="47"/>
      <c r="F34" s="47"/>
      <c r="G34" s="171" t="s">
        <v>72</v>
      </c>
      <c r="H34" s="172"/>
      <c r="I34" s="263"/>
      <c r="J34" s="172"/>
      <c r="K34" s="172"/>
      <c r="L34" s="172"/>
      <c r="M34" s="172"/>
      <c r="N34" s="171"/>
      <c r="O34" s="263"/>
      <c r="P34" s="172"/>
      <c r="Q34" s="172"/>
      <c r="R34" s="172"/>
      <c r="S34" s="172"/>
      <c r="T34" s="171"/>
      <c r="U34" s="172"/>
      <c r="V34" s="263"/>
      <c r="W34" s="172"/>
      <c r="Y34" s="294"/>
      <c r="Z34" s="295"/>
      <c r="AA34" s="294"/>
      <c r="AB34" s="294"/>
      <c r="AC34" s="294"/>
      <c r="AD34" s="305"/>
      <c r="AE34" s="296"/>
    </row>
    <row r="35" spans="1:31" ht="21.5" thickBot="1" x14ac:dyDescent="0.4">
      <c r="A35" s="23"/>
      <c r="B35" s="57"/>
      <c r="C35" s="58"/>
      <c r="D35" s="58"/>
      <c r="E35" s="58"/>
      <c r="F35" s="58"/>
      <c r="G35" s="59"/>
      <c r="H35" s="59"/>
      <c r="I35" s="264"/>
      <c r="J35" s="67"/>
      <c r="K35" s="61"/>
      <c r="L35" s="61"/>
      <c r="M35" s="61"/>
      <c r="N35" s="59"/>
      <c r="O35" s="264"/>
      <c r="P35" s="67"/>
      <c r="Q35" s="61"/>
      <c r="R35" s="61"/>
      <c r="S35" s="61"/>
      <c r="T35" s="59"/>
      <c r="U35" s="59"/>
      <c r="V35" s="264"/>
      <c r="W35" s="59"/>
      <c r="Y35" s="294"/>
      <c r="Z35" s="295"/>
      <c r="AA35" s="294"/>
      <c r="AB35" s="294"/>
      <c r="AC35" s="294"/>
      <c r="AD35" s="305"/>
      <c r="AE35" s="296"/>
    </row>
    <row r="36" spans="1:31" ht="19" thickBot="1" x14ac:dyDescent="0.4">
      <c r="A36" s="23"/>
      <c r="B36" s="62"/>
      <c r="C36" s="27"/>
      <c r="D36" s="27"/>
      <c r="E36" s="27"/>
      <c r="F36" s="27"/>
      <c r="G36" s="522" t="s">
        <v>99</v>
      </c>
      <c r="H36" s="655"/>
      <c r="I36" s="655"/>
      <c r="J36" s="655"/>
      <c r="K36" s="655"/>
      <c r="L36" s="655"/>
      <c r="M36" s="656"/>
      <c r="N36" s="337"/>
      <c r="O36" s="338"/>
      <c r="P36" s="338"/>
      <c r="Q36" s="338"/>
      <c r="R36" s="338"/>
      <c r="S36" s="339"/>
      <c r="T36" s="337"/>
      <c r="U36" s="338"/>
      <c r="V36" s="338"/>
      <c r="W36" s="334"/>
      <c r="Y36" s="294"/>
      <c r="Z36" s="295"/>
      <c r="AA36" s="294"/>
      <c r="AB36" s="294"/>
      <c r="AC36" s="294"/>
      <c r="AD36" s="305"/>
      <c r="AE36" s="296"/>
    </row>
    <row r="37" spans="1:31" ht="116" x14ac:dyDescent="0.35">
      <c r="A37" s="23"/>
      <c r="B37" s="31"/>
      <c r="C37" s="68" t="s">
        <v>100</v>
      </c>
      <c r="D37" s="163">
        <f>D33+1</f>
        <v>19</v>
      </c>
      <c r="E37" s="33" t="s">
        <v>39</v>
      </c>
      <c r="F37" s="167" t="s">
        <v>20</v>
      </c>
      <c r="G37" s="173" t="s">
        <v>101</v>
      </c>
      <c r="H37" s="174" t="s">
        <v>102</v>
      </c>
      <c r="I37" s="271"/>
      <c r="J37" s="175" t="s">
        <v>103</v>
      </c>
      <c r="K37" s="174" t="s">
        <v>104</v>
      </c>
      <c r="L37" s="174" t="s">
        <v>105</v>
      </c>
      <c r="M37" s="176" t="s">
        <v>106</v>
      </c>
      <c r="O37" s="298" t="s">
        <v>836</v>
      </c>
      <c r="P37" s="298" t="s">
        <v>747</v>
      </c>
      <c r="Q37" s="299" t="s">
        <v>747</v>
      </c>
      <c r="S37" s="297" t="s">
        <v>778</v>
      </c>
      <c r="T37" s="298" t="s">
        <v>702</v>
      </c>
      <c r="U37" s="298" t="s">
        <v>859</v>
      </c>
      <c r="V37" s="300"/>
      <c r="W37" s="301"/>
      <c r="Y37" s="302">
        <v>19</v>
      </c>
      <c r="Z37" s="295" t="s">
        <v>101</v>
      </c>
      <c r="AA37" s="302" t="s">
        <v>102</v>
      </c>
      <c r="AB37" s="302" t="s">
        <v>414</v>
      </c>
      <c r="AC37" s="302" t="s">
        <v>372</v>
      </c>
      <c r="AD37" s="304" t="s">
        <v>442</v>
      </c>
      <c r="AE37" s="296" t="s">
        <v>441</v>
      </c>
    </row>
    <row r="38" spans="1:31" ht="232" x14ac:dyDescent="0.35">
      <c r="A38" s="23"/>
      <c r="B38" s="31"/>
      <c r="C38" s="66" t="s">
        <v>100</v>
      </c>
      <c r="D38" s="164">
        <f t="shared" ref="D38:D49" si="1">D37+1</f>
        <v>20</v>
      </c>
      <c r="E38" s="44" t="s">
        <v>39</v>
      </c>
      <c r="F38" s="168" t="s">
        <v>20</v>
      </c>
      <c r="G38" s="39" t="s">
        <v>107</v>
      </c>
      <c r="H38" s="41" t="s">
        <v>108</v>
      </c>
      <c r="I38" s="272"/>
      <c r="J38" s="40" t="s">
        <v>109</v>
      </c>
      <c r="K38" s="41" t="s">
        <v>110</v>
      </c>
      <c r="L38" s="41" t="s">
        <v>111</v>
      </c>
      <c r="M38" s="42" t="s">
        <v>112</v>
      </c>
      <c r="O38" s="298" t="s">
        <v>843</v>
      </c>
      <c r="P38" s="298" t="s">
        <v>747</v>
      </c>
      <c r="Q38" s="299" t="s">
        <v>844</v>
      </c>
      <c r="S38" s="297" t="s">
        <v>848</v>
      </c>
      <c r="T38" s="298" t="s">
        <v>847</v>
      </c>
      <c r="U38" s="298" t="s">
        <v>860</v>
      </c>
      <c r="V38" s="300"/>
      <c r="W38" s="301"/>
      <c r="Y38" s="294">
        <v>20</v>
      </c>
      <c r="Z38" s="295" t="s">
        <v>107</v>
      </c>
      <c r="AA38" s="294" t="s">
        <v>108</v>
      </c>
      <c r="AB38" s="280" t="s">
        <v>359</v>
      </c>
      <c r="AC38" s="294" t="s">
        <v>360</v>
      </c>
      <c r="AD38" s="294" t="s">
        <v>614</v>
      </c>
      <c r="AE38" s="309" t="s">
        <v>415</v>
      </c>
    </row>
    <row r="39" spans="1:31" ht="130.5" x14ac:dyDescent="0.35">
      <c r="A39" s="23"/>
      <c r="B39" s="31"/>
      <c r="C39" s="66" t="s">
        <v>100</v>
      </c>
      <c r="D39" s="164">
        <f t="shared" si="1"/>
        <v>21</v>
      </c>
      <c r="E39" s="38" t="s">
        <v>43</v>
      </c>
      <c r="F39" s="168" t="s">
        <v>20</v>
      </c>
      <c r="G39" s="39" t="s">
        <v>113</v>
      </c>
      <c r="H39" s="41" t="s">
        <v>459</v>
      </c>
      <c r="I39" s="272"/>
      <c r="J39" s="40" t="s">
        <v>456</v>
      </c>
      <c r="K39" s="41" t="s">
        <v>457</v>
      </c>
      <c r="L39" s="41" t="s">
        <v>458</v>
      </c>
      <c r="M39" s="42" t="s">
        <v>460</v>
      </c>
      <c r="O39" s="298" t="s">
        <v>846</v>
      </c>
      <c r="P39" s="298" t="s">
        <v>616</v>
      </c>
      <c r="Q39" s="299" t="s">
        <v>845</v>
      </c>
      <c r="S39" s="297" t="s">
        <v>848</v>
      </c>
      <c r="T39" s="298" t="s">
        <v>849</v>
      </c>
      <c r="U39" s="298" t="s">
        <v>816</v>
      </c>
      <c r="V39" s="300"/>
      <c r="W39" s="301"/>
      <c r="Y39" s="302">
        <v>21</v>
      </c>
      <c r="Z39" s="295" t="s">
        <v>113</v>
      </c>
      <c r="AA39" s="302" t="s">
        <v>459</v>
      </c>
      <c r="AB39" s="302" t="s">
        <v>461</v>
      </c>
      <c r="AC39" s="302" t="s">
        <v>361</v>
      </c>
      <c r="AD39" s="302" t="s">
        <v>614</v>
      </c>
      <c r="AE39" s="302"/>
    </row>
    <row r="40" spans="1:31" ht="101.5" x14ac:dyDescent="0.35">
      <c r="A40" s="23"/>
      <c r="B40" s="64"/>
      <c r="C40" s="66" t="s">
        <v>100</v>
      </c>
      <c r="D40" s="164">
        <f t="shared" si="1"/>
        <v>22</v>
      </c>
      <c r="E40" s="38" t="s">
        <v>43</v>
      </c>
      <c r="F40" s="168" t="s">
        <v>20</v>
      </c>
      <c r="G40" s="39" t="s">
        <v>114</v>
      </c>
      <c r="H40" s="41" t="s">
        <v>115</v>
      </c>
      <c r="I40" s="272"/>
      <c r="J40" s="40" t="s">
        <v>116</v>
      </c>
      <c r="K40" s="41" t="s">
        <v>117</v>
      </c>
      <c r="L40" s="41" t="s">
        <v>118</v>
      </c>
      <c r="M40" s="42" t="s">
        <v>119</v>
      </c>
      <c r="O40" s="298" t="s">
        <v>615</v>
      </c>
      <c r="P40" s="298" t="s">
        <v>616</v>
      </c>
      <c r="Q40" s="299" t="s">
        <v>617</v>
      </c>
      <c r="S40" s="297" t="s">
        <v>579</v>
      </c>
      <c r="T40" s="298" t="s">
        <v>583</v>
      </c>
      <c r="U40" s="298" t="s">
        <v>816</v>
      </c>
      <c r="V40" s="300"/>
      <c r="W40" s="301"/>
      <c r="Y40" s="294">
        <v>22</v>
      </c>
      <c r="Z40" s="295" t="s">
        <v>114</v>
      </c>
      <c r="AA40" s="294" t="s">
        <v>115</v>
      </c>
      <c r="AB40" s="294" t="s">
        <v>416</v>
      </c>
      <c r="AC40" s="294" t="s">
        <v>398</v>
      </c>
      <c r="AD40" s="308" t="s">
        <v>363</v>
      </c>
      <c r="AE40" s="294"/>
    </row>
    <row r="41" spans="1:31" ht="72.5" x14ac:dyDescent="0.35">
      <c r="A41" s="23"/>
      <c r="B41" s="31"/>
      <c r="C41" s="66" t="s">
        <v>100</v>
      </c>
      <c r="D41" s="164">
        <f t="shared" si="1"/>
        <v>23</v>
      </c>
      <c r="E41" s="38" t="s">
        <v>43</v>
      </c>
      <c r="F41" s="168" t="s">
        <v>20</v>
      </c>
      <c r="G41" s="39" t="s">
        <v>120</v>
      </c>
      <c r="H41" s="41" t="s">
        <v>121</v>
      </c>
      <c r="I41" s="272"/>
      <c r="J41" s="40" t="s">
        <v>122</v>
      </c>
      <c r="K41" s="41" t="s">
        <v>123</v>
      </c>
      <c r="L41" s="41" t="s">
        <v>124</v>
      </c>
      <c r="M41" s="42" t="s">
        <v>125</v>
      </c>
      <c r="O41" s="298" t="s">
        <v>618</v>
      </c>
      <c r="P41" s="298" t="s">
        <v>619</v>
      </c>
      <c r="Q41" s="299" t="s">
        <v>620</v>
      </c>
      <c r="S41" s="297" t="s">
        <v>579</v>
      </c>
      <c r="T41" s="298" t="s">
        <v>583</v>
      </c>
      <c r="U41" s="298" t="s">
        <v>816</v>
      </c>
      <c r="V41" s="300"/>
      <c r="W41" s="301"/>
      <c r="Y41" s="302">
        <v>23</v>
      </c>
      <c r="Z41" s="295" t="s">
        <v>120</v>
      </c>
      <c r="AA41" s="302" t="s">
        <v>121</v>
      </c>
      <c r="AB41" s="302" t="s">
        <v>417</v>
      </c>
      <c r="AC41" s="302" t="s">
        <v>418</v>
      </c>
      <c r="AD41" s="302" t="s">
        <v>362</v>
      </c>
      <c r="AE41" s="302"/>
    </row>
    <row r="42" spans="1:31" ht="72.5" x14ac:dyDescent="0.35">
      <c r="A42" s="23"/>
      <c r="B42" s="31"/>
      <c r="C42" s="66" t="s">
        <v>100</v>
      </c>
      <c r="D42" s="164">
        <f t="shared" si="1"/>
        <v>24</v>
      </c>
      <c r="E42" s="38" t="s">
        <v>43</v>
      </c>
      <c r="F42" s="168" t="s">
        <v>20</v>
      </c>
      <c r="G42" s="39" t="s">
        <v>126</v>
      </c>
      <c r="H42" s="41" t="s">
        <v>127</v>
      </c>
      <c r="I42" s="272"/>
      <c r="J42" s="40" t="s">
        <v>128</v>
      </c>
      <c r="K42" s="41" t="s">
        <v>129</v>
      </c>
      <c r="L42" s="41" t="s">
        <v>130</v>
      </c>
      <c r="M42" s="42" t="s">
        <v>131</v>
      </c>
      <c r="O42" s="298" t="s">
        <v>621</v>
      </c>
      <c r="P42" s="298" t="s">
        <v>619</v>
      </c>
      <c r="Q42" s="299" t="s">
        <v>622</v>
      </c>
      <c r="S42" s="297" t="s">
        <v>579</v>
      </c>
      <c r="T42" s="298" t="s">
        <v>583</v>
      </c>
      <c r="U42" s="298" t="s">
        <v>816</v>
      </c>
      <c r="V42" s="300"/>
      <c r="W42" s="301"/>
      <c r="Y42" s="294">
        <v>24</v>
      </c>
      <c r="Z42" s="305" t="s">
        <v>126</v>
      </c>
      <c r="AA42" s="294" t="s">
        <v>127</v>
      </c>
      <c r="AB42" s="294" t="s">
        <v>364</v>
      </c>
      <c r="AC42" s="294" t="s">
        <v>419</v>
      </c>
      <c r="AD42" s="308" t="s">
        <v>365</v>
      </c>
      <c r="AE42" s="294"/>
    </row>
    <row r="43" spans="1:31" ht="58" x14ac:dyDescent="0.35">
      <c r="A43" s="23"/>
      <c r="B43" s="31"/>
      <c r="C43" s="66" t="s">
        <v>100</v>
      </c>
      <c r="D43" s="164">
        <f t="shared" si="1"/>
        <v>25</v>
      </c>
      <c r="E43" s="38" t="s">
        <v>43</v>
      </c>
      <c r="F43" s="168" t="s">
        <v>20</v>
      </c>
      <c r="G43" s="39" t="s">
        <v>132</v>
      </c>
      <c r="H43" s="41" t="s">
        <v>503</v>
      </c>
      <c r="I43" s="272"/>
      <c r="J43" s="45"/>
      <c r="K43" s="41" t="s">
        <v>504</v>
      </c>
      <c r="L43" s="41" t="s">
        <v>505</v>
      </c>
      <c r="M43" s="42" t="s">
        <v>506</v>
      </c>
      <c r="O43" s="298" t="s">
        <v>585</v>
      </c>
      <c r="P43" s="298" t="s">
        <v>585</v>
      </c>
      <c r="Q43" s="299" t="s">
        <v>585</v>
      </c>
      <c r="S43" s="297" t="s">
        <v>579</v>
      </c>
      <c r="T43" s="298" t="s">
        <v>583</v>
      </c>
      <c r="U43" s="298" t="s">
        <v>816</v>
      </c>
      <c r="V43" s="300"/>
      <c r="W43" s="301"/>
      <c r="Y43" s="302">
        <v>25</v>
      </c>
      <c r="Z43" s="304" t="s">
        <v>132</v>
      </c>
      <c r="AA43" s="302" t="s">
        <v>623</v>
      </c>
      <c r="AB43" s="302" t="s">
        <v>624</v>
      </c>
      <c r="AC43" s="302" t="s">
        <v>625</v>
      </c>
      <c r="AD43" s="302" t="s">
        <v>43</v>
      </c>
      <c r="AE43" s="302"/>
    </row>
    <row r="44" spans="1:31" ht="72.5" x14ac:dyDescent="0.35">
      <c r="A44" s="23"/>
      <c r="B44" s="31"/>
      <c r="C44" s="69" t="s">
        <v>100</v>
      </c>
      <c r="D44" s="164">
        <f t="shared" si="1"/>
        <v>26</v>
      </c>
      <c r="E44" s="38" t="s">
        <v>43</v>
      </c>
      <c r="F44" s="168" t="s">
        <v>20</v>
      </c>
      <c r="G44" s="39" t="s">
        <v>133</v>
      </c>
      <c r="H44" s="41" t="s">
        <v>134</v>
      </c>
      <c r="I44" s="272"/>
      <c r="J44" s="45"/>
      <c r="K44" s="41" t="s">
        <v>135</v>
      </c>
      <c r="L44" s="41" t="s">
        <v>136</v>
      </c>
      <c r="M44" s="42" t="s">
        <v>137</v>
      </c>
      <c r="O44" s="298" t="s">
        <v>585</v>
      </c>
      <c r="P44" s="298" t="s">
        <v>585</v>
      </c>
      <c r="Q44" s="299" t="s">
        <v>585</v>
      </c>
      <c r="S44" s="297" t="s">
        <v>579</v>
      </c>
      <c r="T44" s="298" t="s">
        <v>583</v>
      </c>
      <c r="U44" s="298" t="s">
        <v>816</v>
      </c>
      <c r="V44" s="300"/>
      <c r="W44" s="301"/>
      <c r="Y44" s="294">
        <v>26</v>
      </c>
      <c r="Z44" s="305" t="s">
        <v>133</v>
      </c>
      <c r="AA44" s="294" t="s">
        <v>134</v>
      </c>
      <c r="AB44" s="294" t="s">
        <v>420</v>
      </c>
      <c r="AC44" s="294" t="s">
        <v>421</v>
      </c>
      <c r="AD44" s="308" t="s">
        <v>366</v>
      </c>
      <c r="AE44" s="294"/>
    </row>
    <row r="45" spans="1:31" ht="58" x14ac:dyDescent="0.35">
      <c r="A45" s="23"/>
      <c r="B45" s="31"/>
      <c r="C45" s="66" t="s">
        <v>100</v>
      </c>
      <c r="D45" s="164">
        <f t="shared" si="1"/>
        <v>27</v>
      </c>
      <c r="E45" s="38" t="s">
        <v>43</v>
      </c>
      <c r="F45" s="168" t="s">
        <v>20</v>
      </c>
      <c r="G45" s="39" t="s">
        <v>138</v>
      </c>
      <c r="H45" s="41" t="s">
        <v>139</v>
      </c>
      <c r="I45" s="272"/>
      <c r="J45" s="45"/>
      <c r="K45" s="41" t="s">
        <v>140</v>
      </c>
      <c r="L45" s="41" t="s">
        <v>141</v>
      </c>
      <c r="M45" s="42" t="s">
        <v>142</v>
      </c>
      <c r="O45" s="298" t="s">
        <v>585</v>
      </c>
      <c r="P45" s="298" t="s">
        <v>585</v>
      </c>
      <c r="Q45" s="299" t="s">
        <v>585</v>
      </c>
      <c r="S45" s="297" t="s">
        <v>579</v>
      </c>
      <c r="T45" s="298" t="s">
        <v>583</v>
      </c>
      <c r="U45" s="298" t="s">
        <v>816</v>
      </c>
      <c r="V45" s="300"/>
      <c r="W45" s="301"/>
      <c r="Y45" s="302">
        <v>27</v>
      </c>
      <c r="Z45" s="295" t="s">
        <v>138</v>
      </c>
      <c r="AA45" s="302" t="s">
        <v>139</v>
      </c>
      <c r="AB45" s="302" t="s">
        <v>383</v>
      </c>
      <c r="AC45" s="302" t="s">
        <v>384</v>
      </c>
      <c r="AD45" s="302" t="s">
        <v>43</v>
      </c>
      <c r="AE45" s="302"/>
    </row>
    <row r="46" spans="1:31" ht="72.5" x14ac:dyDescent="0.35">
      <c r="A46" s="23"/>
      <c r="B46" s="31"/>
      <c r="C46" s="66" t="s">
        <v>100</v>
      </c>
      <c r="D46" s="164">
        <f t="shared" si="1"/>
        <v>28</v>
      </c>
      <c r="E46" s="38" t="s">
        <v>43</v>
      </c>
      <c r="F46" s="168" t="s">
        <v>20</v>
      </c>
      <c r="G46" s="39" t="s">
        <v>143</v>
      </c>
      <c r="H46" s="41" t="s">
        <v>144</v>
      </c>
      <c r="I46" s="272"/>
      <c r="J46" s="40" t="s">
        <v>145</v>
      </c>
      <c r="K46" s="41" t="s">
        <v>146</v>
      </c>
      <c r="L46" s="41" t="s">
        <v>147</v>
      </c>
      <c r="M46" s="42" t="s">
        <v>148</v>
      </c>
      <c r="O46" s="298" t="s">
        <v>626</v>
      </c>
      <c r="P46" s="298" t="s">
        <v>619</v>
      </c>
      <c r="Q46" s="299" t="s">
        <v>627</v>
      </c>
      <c r="S46" s="297" t="s">
        <v>579</v>
      </c>
      <c r="T46" s="298" t="s">
        <v>583</v>
      </c>
      <c r="U46" s="298" t="s">
        <v>816</v>
      </c>
      <c r="V46" s="300"/>
      <c r="W46" s="301"/>
      <c r="Y46" s="294">
        <v>28</v>
      </c>
      <c r="Z46" s="305" t="s">
        <v>143</v>
      </c>
      <c r="AA46" s="294" t="s">
        <v>144</v>
      </c>
      <c r="AB46" s="294" t="s">
        <v>422</v>
      </c>
      <c r="AC46" s="294" t="s">
        <v>423</v>
      </c>
      <c r="AD46" s="308" t="s">
        <v>367</v>
      </c>
      <c r="AE46" s="294"/>
    </row>
    <row r="47" spans="1:31" ht="78" x14ac:dyDescent="0.35">
      <c r="A47" s="23"/>
      <c r="B47" s="31"/>
      <c r="C47" s="66" t="s">
        <v>100</v>
      </c>
      <c r="D47" s="164">
        <f t="shared" si="1"/>
        <v>29</v>
      </c>
      <c r="E47" s="38" t="s">
        <v>43</v>
      </c>
      <c r="F47" s="168" t="s">
        <v>20</v>
      </c>
      <c r="G47" s="39" t="s">
        <v>149</v>
      </c>
      <c r="H47" s="41" t="s">
        <v>150</v>
      </c>
      <c r="I47" s="272"/>
      <c r="J47" s="45"/>
      <c r="K47" s="41" t="s">
        <v>151</v>
      </c>
      <c r="L47" s="41" t="s">
        <v>152</v>
      </c>
      <c r="M47" s="42" t="s">
        <v>153</v>
      </c>
      <c r="O47" s="298"/>
      <c r="P47" s="298" t="s">
        <v>627</v>
      </c>
      <c r="Q47" s="299" t="s">
        <v>627</v>
      </c>
      <c r="S47" s="297" t="s">
        <v>579</v>
      </c>
      <c r="T47" s="298" t="s">
        <v>583</v>
      </c>
      <c r="U47" s="298" t="s">
        <v>816</v>
      </c>
      <c r="V47" s="300"/>
      <c r="W47" s="301"/>
      <c r="Y47" s="302">
        <v>29</v>
      </c>
      <c r="Z47" s="310" t="s">
        <v>149</v>
      </c>
      <c r="AA47" s="302" t="s">
        <v>150</v>
      </c>
      <c r="AB47" s="302" t="s">
        <v>393</v>
      </c>
      <c r="AC47" s="302" t="s">
        <v>385</v>
      </c>
      <c r="AD47" s="302" t="s">
        <v>43</v>
      </c>
      <c r="AE47" s="302"/>
    </row>
    <row r="48" spans="1:31" ht="72.5" x14ac:dyDescent="0.35">
      <c r="A48" s="23"/>
      <c r="B48" s="70"/>
      <c r="C48" s="66" t="s">
        <v>100</v>
      </c>
      <c r="D48" s="164">
        <f>D47+1</f>
        <v>30</v>
      </c>
      <c r="E48" s="38" t="s">
        <v>43</v>
      </c>
      <c r="F48" s="198" t="s">
        <v>43</v>
      </c>
      <c r="G48" s="39" t="s">
        <v>154</v>
      </c>
      <c r="H48" s="41" t="s">
        <v>155</v>
      </c>
      <c r="I48" s="272"/>
      <c r="J48" s="45"/>
      <c r="K48" s="41" t="s">
        <v>156</v>
      </c>
      <c r="L48" s="41" t="s">
        <v>157</v>
      </c>
      <c r="M48" s="42" t="s">
        <v>158</v>
      </c>
      <c r="O48" s="298" t="s">
        <v>621</v>
      </c>
      <c r="P48" s="298" t="s">
        <v>622</v>
      </c>
      <c r="Q48" s="299" t="s">
        <v>622</v>
      </c>
      <c r="S48" s="297" t="s">
        <v>579</v>
      </c>
      <c r="T48" s="298" t="s">
        <v>583</v>
      </c>
      <c r="U48" s="298" t="s">
        <v>816</v>
      </c>
      <c r="V48" s="300"/>
      <c r="W48" s="301"/>
      <c r="Y48" s="294">
        <v>30</v>
      </c>
      <c r="Z48" s="311" t="s">
        <v>154</v>
      </c>
      <c r="AA48" s="294" t="s">
        <v>155</v>
      </c>
      <c r="AB48" s="294" t="s">
        <v>364</v>
      </c>
      <c r="AC48" s="294" t="s">
        <v>419</v>
      </c>
      <c r="AD48" s="308" t="s">
        <v>365</v>
      </c>
      <c r="AE48" s="294"/>
    </row>
    <row r="49" spans="1:31" ht="91.5" thickBot="1" x14ac:dyDescent="0.4">
      <c r="A49" s="23"/>
      <c r="B49" s="31"/>
      <c r="C49" s="71" t="s">
        <v>100</v>
      </c>
      <c r="D49" s="165">
        <f t="shared" si="1"/>
        <v>31</v>
      </c>
      <c r="E49" s="46" t="s">
        <v>39</v>
      </c>
      <c r="F49" s="169" t="s">
        <v>20</v>
      </c>
      <c r="G49" s="177" t="s">
        <v>159</v>
      </c>
      <c r="H49" s="178" t="s">
        <v>160</v>
      </c>
      <c r="I49" s="273"/>
      <c r="J49" s="179"/>
      <c r="K49" s="178" t="s">
        <v>469</v>
      </c>
      <c r="L49" s="178" t="s">
        <v>470</v>
      </c>
      <c r="M49" s="180" t="s">
        <v>471</v>
      </c>
      <c r="O49" s="298"/>
      <c r="P49" s="298" t="s">
        <v>748</v>
      </c>
      <c r="Q49" s="299" t="s">
        <v>749</v>
      </c>
      <c r="S49" s="297" t="s">
        <v>779</v>
      </c>
      <c r="T49" s="298" t="s">
        <v>702</v>
      </c>
      <c r="U49" s="298" t="s">
        <v>816</v>
      </c>
      <c r="V49" s="300"/>
      <c r="W49" s="301"/>
      <c r="Y49" s="302">
        <v>31</v>
      </c>
      <c r="Z49" s="304" t="s">
        <v>159</v>
      </c>
      <c r="AA49" s="302" t="s">
        <v>160</v>
      </c>
      <c r="AB49" s="302" t="s">
        <v>424</v>
      </c>
      <c r="AC49" s="302" t="s">
        <v>386</v>
      </c>
      <c r="AD49" s="303" t="s">
        <v>387</v>
      </c>
      <c r="AE49" s="302"/>
    </row>
    <row r="50" spans="1:31" ht="15" thickBot="1" x14ac:dyDescent="0.4">
      <c r="A50" s="23"/>
      <c r="B50" s="72"/>
      <c r="C50" s="47"/>
      <c r="D50" s="47"/>
      <c r="E50" s="47"/>
      <c r="F50" s="47"/>
      <c r="G50" s="171" t="s">
        <v>100</v>
      </c>
      <c r="H50" s="172"/>
      <c r="I50" s="263"/>
      <c r="J50" s="172"/>
      <c r="K50" s="172"/>
      <c r="L50" s="172"/>
      <c r="M50" s="172"/>
      <c r="N50" s="171"/>
      <c r="O50" s="263"/>
      <c r="P50" s="172"/>
      <c r="Q50" s="172"/>
      <c r="R50" s="172"/>
      <c r="S50" s="172"/>
      <c r="T50" s="171"/>
      <c r="U50" s="172"/>
      <c r="V50" s="263"/>
      <c r="W50" s="172"/>
      <c r="Y50" s="302"/>
      <c r="Z50" s="304"/>
      <c r="AA50" s="302"/>
      <c r="AB50" s="302"/>
      <c r="AC50" s="302"/>
      <c r="AD50" s="303"/>
      <c r="AE50" s="302"/>
    </row>
    <row r="51" spans="1:31" ht="15" thickBot="1" x14ac:dyDescent="0.4">
      <c r="A51" s="23"/>
      <c r="B51" s="73"/>
      <c r="C51" s="47"/>
      <c r="D51" s="47"/>
      <c r="E51" s="47"/>
      <c r="F51" s="47"/>
      <c r="G51" s="74"/>
      <c r="H51" s="74"/>
      <c r="I51" s="265"/>
      <c r="J51" s="23"/>
      <c r="K51" s="23"/>
      <c r="L51" s="23"/>
      <c r="M51" s="23"/>
      <c r="N51" s="74"/>
      <c r="O51" s="265"/>
      <c r="P51" s="23"/>
      <c r="Q51" s="23"/>
      <c r="R51" s="23"/>
      <c r="S51" s="23"/>
      <c r="T51" s="74"/>
      <c r="U51" s="74"/>
      <c r="V51" s="265"/>
      <c r="W51" s="74"/>
      <c r="Y51" s="302"/>
      <c r="Z51" s="304"/>
      <c r="AA51" s="302"/>
      <c r="AB51" s="302"/>
      <c r="AC51" s="302"/>
      <c r="AD51" s="303"/>
      <c r="AE51" s="302"/>
    </row>
    <row r="52" spans="1:31" ht="16" thickBot="1" x14ac:dyDescent="0.4">
      <c r="A52" s="23"/>
      <c r="B52" s="75"/>
      <c r="C52" s="63"/>
      <c r="D52" s="63"/>
      <c r="E52" s="63"/>
      <c r="F52" s="63"/>
      <c r="G52" s="522" t="s">
        <v>161</v>
      </c>
      <c r="H52" s="655"/>
      <c r="I52" s="655"/>
      <c r="J52" s="655"/>
      <c r="K52" s="655"/>
      <c r="L52" s="655"/>
      <c r="M52" s="656"/>
      <c r="N52" s="337"/>
      <c r="O52" s="338"/>
      <c r="P52" s="338"/>
      <c r="Q52" s="338"/>
      <c r="R52" s="338"/>
      <c r="S52" s="339"/>
      <c r="T52" s="337"/>
      <c r="U52" s="338"/>
      <c r="V52" s="338"/>
      <c r="W52" s="334"/>
      <c r="Y52" s="302"/>
      <c r="Z52" s="304"/>
      <c r="AA52" s="302"/>
      <c r="AB52" s="302"/>
      <c r="AC52" s="302"/>
      <c r="AD52" s="303"/>
      <c r="AE52" s="302"/>
    </row>
    <row r="53" spans="1:31" ht="377" x14ac:dyDescent="0.35">
      <c r="A53" s="23"/>
      <c r="B53" s="31"/>
      <c r="C53" s="68" t="s">
        <v>162</v>
      </c>
      <c r="D53" s="163">
        <f>D49+1</f>
        <v>32</v>
      </c>
      <c r="E53" s="33" t="s">
        <v>39</v>
      </c>
      <c r="F53" s="167" t="s">
        <v>20</v>
      </c>
      <c r="G53" s="173" t="s">
        <v>163</v>
      </c>
      <c r="H53" s="174" t="s">
        <v>551</v>
      </c>
      <c r="I53" s="271"/>
      <c r="J53" s="190"/>
      <c r="K53" s="174" t="s">
        <v>164</v>
      </c>
      <c r="L53" s="174" t="s">
        <v>165</v>
      </c>
      <c r="M53" s="176" t="s">
        <v>166</v>
      </c>
      <c r="O53" s="298" t="s">
        <v>629</v>
      </c>
      <c r="P53" s="298" t="s">
        <v>628</v>
      </c>
      <c r="Q53" s="299" t="s">
        <v>630</v>
      </c>
      <c r="S53" s="297" t="s">
        <v>631</v>
      </c>
      <c r="T53" s="298" t="s">
        <v>632</v>
      </c>
      <c r="U53" s="298" t="s">
        <v>862</v>
      </c>
      <c r="V53" s="300"/>
      <c r="W53" s="301"/>
      <c r="Y53" s="294">
        <v>32</v>
      </c>
      <c r="Z53" s="295" t="s">
        <v>163</v>
      </c>
      <c r="AA53" s="294" t="s">
        <v>633</v>
      </c>
      <c r="AB53" s="294" t="s">
        <v>425</v>
      </c>
      <c r="AC53" s="294" t="s">
        <v>426</v>
      </c>
      <c r="AD53" s="296" t="s">
        <v>335</v>
      </c>
      <c r="AE53" s="280"/>
    </row>
    <row r="54" spans="1:31" ht="232" x14ac:dyDescent="0.35">
      <c r="A54" s="23"/>
      <c r="B54" s="31"/>
      <c r="C54" s="66" t="s">
        <v>162</v>
      </c>
      <c r="D54" s="164">
        <f t="shared" ref="D54:D63" si="2">D53+1</f>
        <v>33</v>
      </c>
      <c r="E54" s="44" t="s">
        <v>39</v>
      </c>
      <c r="F54" s="168" t="s">
        <v>20</v>
      </c>
      <c r="G54" s="39" t="s">
        <v>167</v>
      </c>
      <c r="H54" s="41" t="s">
        <v>168</v>
      </c>
      <c r="I54" s="272"/>
      <c r="J54" s="40" t="s">
        <v>169</v>
      </c>
      <c r="K54" s="41" t="s">
        <v>170</v>
      </c>
      <c r="L54" s="41" t="s">
        <v>171</v>
      </c>
      <c r="M54" s="42" t="s">
        <v>172</v>
      </c>
      <c r="O54" s="298" t="s">
        <v>634</v>
      </c>
      <c r="P54" s="298" t="s">
        <v>635</v>
      </c>
      <c r="Q54" s="299" t="s">
        <v>636</v>
      </c>
      <c r="S54" s="297" t="s">
        <v>637</v>
      </c>
      <c r="T54" s="298" t="s">
        <v>780</v>
      </c>
      <c r="U54" s="298" t="s">
        <v>861</v>
      </c>
      <c r="V54" s="300"/>
      <c r="W54" s="301"/>
      <c r="Y54" s="302">
        <v>33</v>
      </c>
      <c r="Z54" s="312" t="s">
        <v>167</v>
      </c>
      <c r="AA54" s="302" t="s">
        <v>168</v>
      </c>
      <c r="AB54" s="302" t="s">
        <v>489</v>
      </c>
      <c r="AC54" s="302" t="s">
        <v>368</v>
      </c>
      <c r="AD54" s="303" t="s">
        <v>336</v>
      </c>
      <c r="AE54" s="303" t="s">
        <v>490</v>
      </c>
    </row>
    <row r="55" spans="1:31" ht="145" x14ac:dyDescent="0.35">
      <c r="A55" s="23"/>
      <c r="B55" s="31"/>
      <c r="C55" s="66" t="s">
        <v>162</v>
      </c>
      <c r="D55" s="164">
        <f t="shared" si="2"/>
        <v>34</v>
      </c>
      <c r="E55" s="182" t="s">
        <v>43</v>
      </c>
      <c r="F55" s="200" t="s">
        <v>20</v>
      </c>
      <c r="G55" s="39" t="s">
        <v>173</v>
      </c>
      <c r="H55" s="41" t="s">
        <v>174</v>
      </c>
      <c r="I55" s="272"/>
      <c r="J55" s="45"/>
      <c r="K55" s="227" t="s">
        <v>175</v>
      </c>
      <c r="L55" s="189" t="s">
        <v>513</v>
      </c>
      <c r="M55" s="191" t="s">
        <v>514</v>
      </c>
      <c r="O55" s="298" t="s">
        <v>585</v>
      </c>
      <c r="P55" s="298" t="s">
        <v>585</v>
      </c>
      <c r="Q55" s="299" t="s">
        <v>585</v>
      </c>
      <c r="S55" s="297" t="s">
        <v>579</v>
      </c>
      <c r="T55" s="298" t="s">
        <v>583</v>
      </c>
      <c r="U55" s="298" t="s">
        <v>816</v>
      </c>
      <c r="V55" s="300"/>
      <c r="W55" s="301"/>
      <c r="Y55" s="294">
        <v>34</v>
      </c>
      <c r="Z55" s="312" t="s">
        <v>173</v>
      </c>
      <c r="AA55" s="294" t="s">
        <v>174</v>
      </c>
      <c r="AB55" s="294" t="s">
        <v>337</v>
      </c>
      <c r="AC55" s="280" t="s">
        <v>333</v>
      </c>
      <c r="AD55" s="294" t="s">
        <v>444</v>
      </c>
      <c r="AE55" s="313" t="s">
        <v>443</v>
      </c>
    </row>
    <row r="56" spans="1:31" ht="409.5" x14ac:dyDescent="0.35">
      <c r="A56" s="23"/>
      <c r="B56" s="31"/>
      <c r="C56" s="66" t="s">
        <v>162</v>
      </c>
      <c r="D56" s="164">
        <f t="shared" si="2"/>
        <v>35</v>
      </c>
      <c r="E56" s="182" t="s">
        <v>43</v>
      </c>
      <c r="F56" s="186" t="s">
        <v>43</v>
      </c>
      <c r="G56" s="39" t="s">
        <v>507</v>
      </c>
      <c r="H56" s="41" t="s">
        <v>508</v>
      </c>
      <c r="I56" s="272"/>
      <c r="J56" s="45"/>
      <c r="K56" s="227" t="s">
        <v>509</v>
      </c>
      <c r="L56" s="189" t="s">
        <v>178</v>
      </c>
      <c r="M56" s="191" t="s">
        <v>179</v>
      </c>
      <c r="O56" s="298" t="s">
        <v>750</v>
      </c>
      <c r="P56" s="298" t="s">
        <v>809</v>
      </c>
      <c r="Q56" s="299" t="s">
        <v>638</v>
      </c>
      <c r="S56" s="297" t="s">
        <v>639</v>
      </c>
      <c r="T56" s="298" t="s">
        <v>640</v>
      </c>
      <c r="U56" s="298" t="s">
        <v>863</v>
      </c>
      <c r="V56" s="300"/>
      <c r="W56" s="301"/>
      <c r="Y56" s="302">
        <v>35</v>
      </c>
      <c r="Z56" s="314" t="s">
        <v>641</v>
      </c>
      <c r="AA56" s="302" t="s">
        <v>642</v>
      </c>
      <c r="AB56" s="302" t="s">
        <v>337</v>
      </c>
      <c r="AC56" s="302" t="s">
        <v>333</v>
      </c>
      <c r="AD56" s="302" t="s">
        <v>330</v>
      </c>
      <c r="AE56" s="302"/>
    </row>
    <row r="57" spans="1:31" ht="362.5" x14ac:dyDescent="0.35">
      <c r="A57" s="23"/>
      <c r="B57" s="76"/>
      <c r="C57" s="66" t="s">
        <v>162</v>
      </c>
      <c r="D57" s="164">
        <f t="shared" si="2"/>
        <v>36</v>
      </c>
      <c r="E57" s="182" t="s">
        <v>43</v>
      </c>
      <c r="F57" s="186" t="s">
        <v>43</v>
      </c>
      <c r="G57" s="39" t="s">
        <v>180</v>
      </c>
      <c r="H57" s="41" t="s">
        <v>510</v>
      </c>
      <c r="I57" s="272"/>
      <c r="J57" s="45"/>
      <c r="K57" s="227" t="s">
        <v>181</v>
      </c>
      <c r="L57" s="189" t="s">
        <v>512</v>
      </c>
      <c r="M57" s="191" t="s">
        <v>511</v>
      </c>
      <c r="O57" s="298" t="s">
        <v>751</v>
      </c>
      <c r="P57" s="298" t="s">
        <v>752</v>
      </c>
      <c r="Q57" s="299" t="s">
        <v>643</v>
      </c>
      <c r="S57" s="297" t="s">
        <v>644</v>
      </c>
      <c r="T57" s="298" t="s">
        <v>781</v>
      </c>
      <c r="U57" s="298" t="s">
        <v>866</v>
      </c>
      <c r="V57" s="300"/>
      <c r="W57" s="301"/>
      <c r="Y57" s="294">
        <v>36</v>
      </c>
      <c r="Z57" s="314" t="s">
        <v>180</v>
      </c>
      <c r="AA57" s="294" t="s">
        <v>180</v>
      </c>
      <c r="AB57" s="294" t="s">
        <v>427</v>
      </c>
      <c r="AC57" s="294" t="s">
        <v>333</v>
      </c>
      <c r="AD57" s="294"/>
      <c r="AE57" s="280"/>
    </row>
    <row r="58" spans="1:31" ht="156" x14ac:dyDescent="0.35">
      <c r="A58" s="23"/>
      <c r="B58" s="76"/>
      <c r="C58" s="66" t="s">
        <v>162</v>
      </c>
      <c r="D58" s="164">
        <f t="shared" si="2"/>
        <v>37</v>
      </c>
      <c r="E58" s="38" t="s">
        <v>43</v>
      </c>
      <c r="F58" s="198" t="s">
        <v>43</v>
      </c>
      <c r="G58" s="39" t="s">
        <v>182</v>
      </c>
      <c r="H58" s="41" t="s">
        <v>183</v>
      </c>
      <c r="I58" s="272"/>
      <c r="J58" s="40" t="s">
        <v>462</v>
      </c>
      <c r="K58" s="41" t="s">
        <v>184</v>
      </c>
      <c r="L58" s="41" t="s">
        <v>185</v>
      </c>
      <c r="M58" s="42" t="s">
        <v>186</v>
      </c>
      <c r="O58" s="298" t="s">
        <v>645</v>
      </c>
      <c r="P58" s="298" t="s">
        <v>578</v>
      </c>
      <c r="Q58" s="299" t="s">
        <v>646</v>
      </c>
      <c r="S58" s="297" t="s">
        <v>647</v>
      </c>
      <c r="T58" s="298" t="s">
        <v>648</v>
      </c>
      <c r="U58" s="298" t="s">
        <v>598</v>
      </c>
      <c r="V58" s="300"/>
      <c r="W58" s="301"/>
      <c r="Y58" s="302">
        <v>37</v>
      </c>
      <c r="Z58" s="295" t="s">
        <v>182</v>
      </c>
      <c r="AA58" s="302" t="s">
        <v>183</v>
      </c>
      <c r="AB58" s="302" t="s">
        <v>428</v>
      </c>
      <c r="AC58" s="302" t="s">
        <v>333</v>
      </c>
      <c r="AD58" s="303" t="s">
        <v>338</v>
      </c>
      <c r="AE58" s="302"/>
    </row>
    <row r="59" spans="1:31" ht="159.5" x14ac:dyDescent="0.35">
      <c r="A59" s="23"/>
      <c r="B59" s="76"/>
      <c r="C59" s="66" t="s">
        <v>162</v>
      </c>
      <c r="D59" s="164">
        <f t="shared" si="2"/>
        <v>38</v>
      </c>
      <c r="E59" s="44" t="s">
        <v>39</v>
      </c>
      <c r="F59" s="198" t="s">
        <v>43</v>
      </c>
      <c r="G59" s="39" t="s">
        <v>187</v>
      </c>
      <c r="H59" s="41" t="s">
        <v>188</v>
      </c>
      <c r="I59" s="272"/>
      <c r="J59" s="45"/>
      <c r="K59" s="41" t="s">
        <v>189</v>
      </c>
      <c r="L59" s="41" t="s">
        <v>190</v>
      </c>
      <c r="M59" s="42" t="s">
        <v>191</v>
      </c>
      <c r="O59" s="298" t="s">
        <v>753</v>
      </c>
      <c r="P59" s="298" t="s">
        <v>649</v>
      </c>
      <c r="Q59" s="299" t="s">
        <v>754</v>
      </c>
      <c r="S59" s="297" t="s">
        <v>782</v>
      </c>
      <c r="T59" s="298" t="s">
        <v>783</v>
      </c>
      <c r="U59" s="298" t="s">
        <v>784</v>
      </c>
      <c r="V59" s="300"/>
      <c r="W59" s="301"/>
      <c r="Y59" s="294">
        <v>38</v>
      </c>
      <c r="Z59" s="311" t="s">
        <v>187</v>
      </c>
      <c r="AA59" s="294" t="s">
        <v>188</v>
      </c>
      <c r="AB59" s="280" t="s">
        <v>650</v>
      </c>
      <c r="AC59" s="294" t="s">
        <v>333</v>
      </c>
      <c r="AD59" s="294"/>
      <c r="AE59" s="280"/>
    </row>
    <row r="60" spans="1:31" ht="104" x14ac:dyDescent="0.35">
      <c r="A60" s="23"/>
      <c r="B60" s="76"/>
      <c r="C60" s="66" t="s">
        <v>162</v>
      </c>
      <c r="D60" s="164">
        <f t="shared" si="2"/>
        <v>39</v>
      </c>
      <c r="E60" s="38" t="s">
        <v>43</v>
      </c>
      <c r="F60" s="198" t="s">
        <v>43</v>
      </c>
      <c r="G60" s="39" t="s">
        <v>192</v>
      </c>
      <c r="H60" s="41" t="s">
        <v>193</v>
      </c>
      <c r="I60" s="272"/>
      <c r="J60" s="45"/>
      <c r="K60" s="41" t="s">
        <v>194</v>
      </c>
      <c r="L60" s="41" t="s">
        <v>195</v>
      </c>
      <c r="M60" s="42" t="s">
        <v>196</v>
      </c>
      <c r="O60" s="298" t="s">
        <v>585</v>
      </c>
      <c r="P60" s="298" t="s">
        <v>585</v>
      </c>
      <c r="Q60" s="299" t="s">
        <v>585</v>
      </c>
      <c r="S60" s="297"/>
      <c r="T60" s="298"/>
      <c r="U60" s="298"/>
      <c r="V60" s="300"/>
      <c r="W60" s="301"/>
      <c r="Y60" s="302">
        <v>39</v>
      </c>
      <c r="Z60" s="304" t="s">
        <v>192</v>
      </c>
      <c r="AA60" s="302" t="s">
        <v>193</v>
      </c>
      <c r="AB60" s="302" t="s">
        <v>447</v>
      </c>
      <c r="AC60" s="302" t="s">
        <v>333</v>
      </c>
      <c r="AD60" s="303" t="s">
        <v>339</v>
      </c>
      <c r="AE60" s="302"/>
    </row>
    <row r="61" spans="1:31" ht="72.5" x14ac:dyDescent="0.35">
      <c r="A61" s="23"/>
      <c r="B61" s="225"/>
      <c r="C61" s="69" t="s">
        <v>162</v>
      </c>
      <c r="D61" s="164">
        <f t="shared" si="2"/>
        <v>40</v>
      </c>
      <c r="E61" s="38" t="s">
        <v>43</v>
      </c>
      <c r="F61" s="198" t="s">
        <v>43</v>
      </c>
      <c r="G61" s="39" t="s">
        <v>522</v>
      </c>
      <c r="H61" s="41" t="s">
        <v>197</v>
      </c>
      <c r="I61" s="272"/>
      <c r="J61" s="45"/>
      <c r="K61" s="41" t="s">
        <v>198</v>
      </c>
      <c r="L61" s="41" t="s">
        <v>199</v>
      </c>
      <c r="M61" s="42" t="s">
        <v>200</v>
      </c>
      <c r="O61" s="298" t="s">
        <v>585</v>
      </c>
      <c r="P61" s="298" t="s">
        <v>585</v>
      </c>
      <c r="Q61" s="299" t="s">
        <v>585</v>
      </c>
      <c r="S61" s="297"/>
      <c r="T61" s="298"/>
      <c r="U61" s="298"/>
      <c r="V61" s="300"/>
      <c r="W61" s="301"/>
      <c r="Y61" s="294">
        <v>40</v>
      </c>
      <c r="Z61" s="305" t="s">
        <v>651</v>
      </c>
      <c r="AA61" s="294" t="s">
        <v>197</v>
      </c>
      <c r="AB61" s="294" t="s">
        <v>448</v>
      </c>
      <c r="AC61" s="280" t="s">
        <v>429</v>
      </c>
      <c r="AD61" s="313" t="s">
        <v>339</v>
      </c>
      <c r="AE61" s="280"/>
    </row>
    <row r="62" spans="1:31" ht="156" x14ac:dyDescent="0.35">
      <c r="A62" s="23"/>
      <c r="B62" s="225"/>
      <c r="C62" s="43" t="s">
        <v>162</v>
      </c>
      <c r="D62" s="164">
        <f t="shared" si="2"/>
        <v>41</v>
      </c>
      <c r="E62" s="44" t="s">
        <v>39</v>
      </c>
      <c r="F62" s="168" t="s">
        <v>20</v>
      </c>
      <c r="G62" s="39" t="s">
        <v>523</v>
      </c>
      <c r="H62" s="41" t="s">
        <v>201</v>
      </c>
      <c r="I62" s="272"/>
      <c r="J62" s="45"/>
      <c r="K62" s="41" t="s">
        <v>554</v>
      </c>
      <c r="L62" s="41" t="s">
        <v>555</v>
      </c>
      <c r="M62" s="42" t="s">
        <v>202</v>
      </c>
      <c r="O62" s="298" t="s">
        <v>755</v>
      </c>
      <c r="P62" s="298" t="s">
        <v>652</v>
      </c>
      <c r="Q62" s="299" t="s">
        <v>653</v>
      </c>
      <c r="S62" s="297" t="s">
        <v>654</v>
      </c>
      <c r="T62" s="298" t="s">
        <v>702</v>
      </c>
      <c r="U62" s="298" t="s">
        <v>817</v>
      </c>
      <c r="V62" s="300"/>
      <c r="W62" s="301"/>
      <c r="Y62" s="302">
        <v>41</v>
      </c>
      <c r="Z62" s="304" t="s">
        <v>655</v>
      </c>
      <c r="AA62" s="302" t="s">
        <v>201</v>
      </c>
      <c r="AB62" s="302" t="s">
        <v>430</v>
      </c>
      <c r="AC62" s="302" t="s">
        <v>333</v>
      </c>
      <c r="AD62" s="302" t="s">
        <v>445</v>
      </c>
      <c r="AE62" s="303" t="s">
        <v>446</v>
      </c>
    </row>
    <row r="63" spans="1:31" ht="409.6" thickBot="1" x14ac:dyDescent="0.4">
      <c r="A63" s="23"/>
      <c r="B63" s="76"/>
      <c r="C63" s="218" t="s">
        <v>162</v>
      </c>
      <c r="D63" s="165">
        <f t="shared" si="2"/>
        <v>42</v>
      </c>
      <c r="E63" s="166" t="s">
        <v>43</v>
      </c>
      <c r="F63" s="199" t="s">
        <v>43</v>
      </c>
      <c r="G63" s="177" t="s">
        <v>203</v>
      </c>
      <c r="H63" s="178" t="s">
        <v>204</v>
      </c>
      <c r="I63" s="273"/>
      <c r="J63" s="179"/>
      <c r="K63" s="178" t="s">
        <v>205</v>
      </c>
      <c r="L63" s="178" t="s">
        <v>206</v>
      </c>
      <c r="M63" s="180" t="s">
        <v>207</v>
      </c>
      <c r="O63" s="298" t="s">
        <v>656</v>
      </c>
      <c r="P63" s="298" t="s">
        <v>756</v>
      </c>
      <c r="Q63" s="299" t="s">
        <v>657</v>
      </c>
      <c r="S63" s="297" t="s">
        <v>658</v>
      </c>
      <c r="T63" s="298" t="s">
        <v>785</v>
      </c>
      <c r="U63" s="298" t="s">
        <v>786</v>
      </c>
      <c r="V63" s="300"/>
      <c r="W63" s="301"/>
      <c r="Y63" s="294">
        <v>42</v>
      </c>
      <c r="Z63" s="305" t="s">
        <v>203</v>
      </c>
      <c r="AA63" s="294" t="s">
        <v>204</v>
      </c>
      <c r="AB63" s="294" t="s">
        <v>388</v>
      </c>
      <c r="AC63" s="294" t="s">
        <v>399</v>
      </c>
      <c r="AD63" s="313" t="s">
        <v>340</v>
      </c>
      <c r="AE63" s="280"/>
    </row>
    <row r="64" spans="1:31" ht="334" thickBot="1" x14ac:dyDescent="0.4">
      <c r="A64" s="23"/>
      <c r="B64" s="76"/>
      <c r="C64" s="315"/>
      <c r="D64" s="315"/>
      <c r="E64" s="315"/>
      <c r="F64" s="315"/>
      <c r="G64" s="316" t="s">
        <v>852</v>
      </c>
      <c r="H64" s="317" t="s">
        <v>839</v>
      </c>
      <c r="I64" s="318"/>
      <c r="J64" s="319"/>
      <c r="K64" s="178" t="s">
        <v>850</v>
      </c>
      <c r="L64" s="178" t="s">
        <v>851</v>
      </c>
      <c r="M64" s="180" t="s">
        <v>840</v>
      </c>
      <c r="O64" s="298" t="s">
        <v>853</v>
      </c>
      <c r="P64" s="298" t="s">
        <v>842</v>
      </c>
      <c r="Q64" s="299" t="s">
        <v>841</v>
      </c>
      <c r="S64" s="297" t="s">
        <v>658</v>
      </c>
      <c r="T64" s="298" t="s">
        <v>787</v>
      </c>
      <c r="U64" s="346" t="s">
        <v>864</v>
      </c>
      <c r="V64" s="300"/>
      <c r="W64" s="301" t="s">
        <v>665</v>
      </c>
      <c r="Y64" s="294" t="s">
        <v>666</v>
      </c>
      <c r="Z64" s="286" t="s">
        <v>667</v>
      </c>
      <c r="AA64" s="305" t="s">
        <v>668</v>
      </c>
      <c r="AB64" s="294" t="s">
        <v>669</v>
      </c>
      <c r="AC64" s="294" t="s">
        <v>670</v>
      </c>
      <c r="AD64" s="313" t="s">
        <v>671</v>
      </c>
      <c r="AE64" s="280"/>
    </row>
    <row r="65" spans="1:34" ht="15" thickBot="1" x14ac:dyDescent="0.4">
      <c r="A65" s="23"/>
      <c r="B65" s="31"/>
      <c r="C65" s="53"/>
      <c r="D65" s="47"/>
      <c r="E65" s="47"/>
      <c r="F65" s="47"/>
      <c r="G65" s="171" t="s">
        <v>162</v>
      </c>
      <c r="H65" s="172"/>
      <c r="I65" s="263"/>
      <c r="J65" s="172"/>
      <c r="K65" s="172"/>
      <c r="L65" s="172"/>
      <c r="M65" s="172"/>
      <c r="O65" s="172"/>
      <c r="P65" s="263"/>
      <c r="Q65" s="172"/>
      <c r="S65" s="171"/>
      <c r="T65" s="172"/>
      <c r="U65" s="263"/>
      <c r="V65" s="172"/>
      <c r="W65" s="171"/>
      <c r="Y65" s="294"/>
      <c r="Z65" s="305"/>
      <c r="AA65" s="294"/>
      <c r="AB65" s="294"/>
      <c r="AC65" s="294"/>
      <c r="AD65" s="313"/>
      <c r="AE65" s="280"/>
    </row>
    <row r="66" spans="1:34" ht="21.5" thickBot="1" x14ac:dyDescent="0.4">
      <c r="A66" s="23"/>
      <c r="B66" s="77"/>
      <c r="C66" s="78"/>
      <c r="D66" s="53"/>
      <c r="E66" s="53"/>
      <c r="F66" s="53"/>
      <c r="G66" s="74"/>
      <c r="H66" s="74"/>
      <c r="I66" s="265"/>
      <c r="J66" s="67"/>
      <c r="K66" s="61"/>
      <c r="L66" s="61"/>
      <c r="M66" s="61"/>
      <c r="O66" s="74"/>
      <c r="P66" s="265"/>
      <c r="Q66" s="67"/>
      <c r="S66" s="74"/>
      <c r="T66" s="74"/>
      <c r="U66" s="265"/>
      <c r="V66" s="67"/>
      <c r="W66" s="74"/>
      <c r="Y66" s="294"/>
      <c r="Z66" s="305"/>
      <c r="AA66" s="294"/>
      <c r="AB66" s="294"/>
      <c r="AC66" s="294"/>
      <c r="AD66" s="313"/>
      <c r="AE66" s="280"/>
    </row>
    <row r="67" spans="1:34" ht="16" thickBot="1" x14ac:dyDescent="0.4">
      <c r="A67" s="23"/>
      <c r="B67" s="77"/>
      <c r="C67" s="78"/>
      <c r="D67" s="78"/>
      <c r="E67" s="78"/>
      <c r="F67" s="78"/>
      <c r="G67" s="523" t="s">
        <v>208</v>
      </c>
      <c r="H67" s="650"/>
      <c r="I67" s="650"/>
      <c r="J67" s="650"/>
      <c r="K67" s="650"/>
      <c r="L67" s="650"/>
      <c r="M67" s="651"/>
      <c r="O67" s="340"/>
      <c r="P67" s="340"/>
      <c r="Q67" s="340"/>
      <c r="S67" s="342"/>
      <c r="T67" s="340"/>
      <c r="U67" s="340"/>
      <c r="V67" s="340"/>
      <c r="W67" s="278"/>
      <c r="Y67" s="294"/>
      <c r="Z67" s="305"/>
      <c r="AA67" s="294"/>
      <c r="AB67" s="294"/>
      <c r="AC67" s="294"/>
      <c r="AD67" s="313"/>
      <c r="AE67" s="280"/>
    </row>
    <row r="68" spans="1:34" ht="15" thickBot="1" x14ac:dyDescent="0.4">
      <c r="A68" s="23"/>
      <c r="B68" s="31"/>
      <c r="C68" s="78"/>
      <c r="D68" s="78"/>
      <c r="E68" s="78"/>
      <c r="F68" s="78"/>
      <c r="G68" s="652" t="s">
        <v>209</v>
      </c>
      <c r="H68" s="653"/>
      <c r="I68" s="653"/>
      <c r="J68" s="653"/>
      <c r="K68" s="653"/>
      <c r="L68" s="653"/>
      <c r="M68" s="653"/>
      <c r="O68" s="341"/>
      <c r="P68" s="341"/>
      <c r="Q68" s="341"/>
      <c r="S68" s="343"/>
      <c r="T68" s="341"/>
      <c r="U68" s="341"/>
      <c r="V68" s="341"/>
      <c r="W68" s="279"/>
      <c r="Y68" s="294"/>
      <c r="Z68" s="305"/>
      <c r="AA68" s="294"/>
      <c r="AB68" s="294"/>
      <c r="AC68" s="294"/>
      <c r="AD68" s="313"/>
      <c r="AE68" s="280"/>
    </row>
    <row r="69" spans="1:34" ht="78.5" thickBot="1" x14ac:dyDescent="0.4">
      <c r="A69" s="23"/>
      <c r="B69" s="31"/>
      <c r="C69" s="181" t="s">
        <v>210</v>
      </c>
      <c r="D69" s="163">
        <f>D63+1</f>
        <v>43</v>
      </c>
      <c r="E69" s="197" t="s">
        <v>43</v>
      </c>
      <c r="F69" s="220" t="s">
        <v>20</v>
      </c>
      <c r="G69" s="219" t="s">
        <v>211</v>
      </c>
      <c r="H69" s="174" t="s">
        <v>212</v>
      </c>
      <c r="I69" s="271"/>
      <c r="J69" s="190"/>
      <c r="K69" s="174" t="s">
        <v>213</v>
      </c>
      <c r="L69" s="174" t="s">
        <v>214</v>
      </c>
      <c r="M69" s="176" t="s">
        <v>215</v>
      </c>
      <c r="O69" s="298" t="s">
        <v>628</v>
      </c>
      <c r="P69" s="298" t="s">
        <v>583</v>
      </c>
      <c r="Q69" s="299" t="s">
        <v>583</v>
      </c>
      <c r="S69" s="297" t="s">
        <v>579</v>
      </c>
      <c r="T69" s="298" t="s">
        <v>583</v>
      </c>
      <c r="U69" s="298" t="s">
        <v>816</v>
      </c>
      <c r="V69" s="300"/>
      <c r="W69" s="301"/>
      <c r="Y69" s="302">
        <v>43</v>
      </c>
      <c r="Z69" s="312" t="s">
        <v>211</v>
      </c>
      <c r="AA69" s="302" t="s">
        <v>212</v>
      </c>
      <c r="AB69" s="302" t="s">
        <v>389</v>
      </c>
      <c r="AC69" s="302" t="s">
        <v>333</v>
      </c>
      <c r="AD69" s="302" t="s">
        <v>43</v>
      </c>
      <c r="AE69" s="302"/>
    </row>
    <row r="70" spans="1:34" ht="101.5" x14ac:dyDescent="0.35">
      <c r="A70" s="23"/>
      <c r="B70" s="31"/>
      <c r="C70" s="82" t="s">
        <v>210</v>
      </c>
      <c r="D70" s="164">
        <f>D69+1</f>
        <v>44</v>
      </c>
      <c r="E70" s="221" t="s">
        <v>39</v>
      </c>
      <c r="F70" s="223" t="s">
        <v>20</v>
      </c>
      <c r="G70" s="222" t="s">
        <v>216</v>
      </c>
      <c r="H70" s="41" t="s">
        <v>217</v>
      </c>
      <c r="I70" s="272"/>
      <c r="J70" s="40" t="s">
        <v>218</v>
      </c>
      <c r="K70" s="41" t="s">
        <v>43</v>
      </c>
      <c r="L70" s="41" t="s">
        <v>219</v>
      </c>
      <c r="M70" s="42" t="s">
        <v>220</v>
      </c>
      <c r="O70" s="298" t="s">
        <v>757</v>
      </c>
      <c r="P70" s="298" t="s">
        <v>758</v>
      </c>
      <c r="Q70" s="299" t="s">
        <v>759</v>
      </c>
      <c r="S70" s="297" t="s">
        <v>788</v>
      </c>
      <c r="T70" s="298" t="s">
        <v>789</v>
      </c>
      <c r="U70" s="298" t="s">
        <v>818</v>
      </c>
      <c r="V70" s="300"/>
      <c r="W70" s="301"/>
      <c r="Y70" s="294">
        <v>44</v>
      </c>
      <c r="Z70" s="295" t="s">
        <v>216</v>
      </c>
      <c r="AA70" s="294" t="s">
        <v>217</v>
      </c>
      <c r="AB70" s="294" t="s">
        <v>390</v>
      </c>
      <c r="AC70" s="294" t="s">
        <v>391</v>
      </c>
      <c r="AD70" s="294" t="s">
        <v>449</v>
      </c>
      <c r="AE70" s="313" t="s">
        <v>450</v>
      </c>
    </row>
    <row r="71" spans="1:34" ht="72.5" x14ac:dyDescent="0.35">
      <c r="A71" s="23"/>
      <c r="B71" s="31"/>
      <c r="C71" s="65" t="s">
        <v>210</v>
      </c>
      <c r="D71" s="164">
        <f>D70+1</f>
        <v>45</v>
      </c>
      <c r="E71" s="44" t="s">
        <v>39</v>
      </c>
      <c r="F71" s="213" t="s">
        <v>20</v>
      </c>
      <c r="G71" s="39" t="s">
        <v>221</v>
      </c>
      <c r="H71" s="41" t="s">
        <v>222</v>
      </c>
      <c r="I71" s="272"/>
      <c r="J71" s="45"/>
      <c r="K71" s="41" t="s">
        <v>223</v>
      </c>
      <c r="L71" s="41" t="s">
        <v>224</v>
      </c>
      <c r="M71" s="42" t="s">
        <v>225</v>
      </c>
      <c r="O71" s="298"/>
      <c r="P71" s="298" t="s">
        <v>748</v>
      </c>
      <c r="Q71" s="299" t="s">
        <v>748</v>
      </c>
      <c r="S71" s="297" t="s">
        <v>672</v>
      </c>
      <c r="T71" s="298" t="s">
        <v>673</v>
      </c>
      <c r="U71" s="298" t="s">
        <v>818</v>
      </c>
      <c r="V71" s="300"/>
      <c r="W71" s="301"/>
      <c r="Y71" s="302">
        <v>45</v>
      </c>
      <c r="Z71" s="304" t="s">
        <v>221</v>
      </c>
      <c r="AA71" s="302" t="s">
        <v>222</v>
      </c>
      <c r="AB71" s="302" t="s">
        <v>431</v>
      </c>
      <c r="AC71" s="302" t="s">
        <v>333</v>
      </c>
      <c r="AD71" s="302" t="s">
        <v>43</v>
      </c>
      <c r="AE71" s="302"/>
    </row>
    <row r="72" spans="1:34" ht="73" thickBot="1" x14ac:dyDescent="0.4">
      <c r="A72" s="23"/>
      <c r="B72" s="83"/>
      <c r="C72" s="65" t="s">
        <v>210</v>
      </c>
      <c r="D72" s="165">
        <f>D71+1</f>
        <v>46</v>
      </c>
      <c r="E72" s="166" t="s">
        <v>43</v>
      </c>
      <c r="F72" s="199" t="s">
        <v>43</v>
      </c>
      <c r="G72" s="177" t="s">
        <v>226</v>
      </c>
      <c r="H72" s="178" t="s">
        <v>227</v>
      </c>
      <c r="I72" s="273"/>
      <c r="J72" s="179"/>
      <c r="K72" s="178" t="s">
        <v>228</v>
      </c>
      <c r="L72" s="178" t="s">
        <v>229</v>
      </c>
      <c r="M72" s="180" t="s">
        <v>230</v>
      </c>
      <c r="O72" s="298" t="s">
        <v>760</v>
      </c>
      <c r="P72" s="298" t="s">
        <v>761</v>
      </c>
      <c r="Q72" s="299" t="s">
        <v>762</v>
      </c>
      <c r="S72" s="297" t="s">
        <v>791</v>
      </c>
      <c r="T72" s="298" t="s">
        <v>865</v>
      </c>
      <c r="U72" s="298" t="s">
        <v>679</v>
      </c>
      <c r="V72" s="300"/>
      <c r="W72" s="301"/>
      <c r="Y72" s="294">
        <v>46</v>
      </c>
      <c r="Z72" s="312" t="s">
        <v>226</v>
      </c>
      <c r="AA72" s="294" t="s">
        <v>227</v>
      </c>
      <c r="AB72" s="294" t="s">
        <v>472</v>
      </c>
      <c r="AC72" s="294" t="s">
        <v>333</v>
      </c>
      <c r="AD72" s="294" t="s">
        <v>330</v>
      </c>
      <c r="AE72" s="280"/>
    </row>
    <row r="73" spans="1:34" ht="15" thickBot="1" x14ac:dyDescent="0.4">
      <c r="A73" s="23"/>
      <c r="B73" s="31"/>
      <c r="C73" s="78"/>
      <c r="D73" s="78"/>
      <c r="E73" s="78"/>
      <c r="F73" s="78"/>
      <c r="G73" s="524" t="s">
        <v>231</v>
      </c>
      <c r="H73" s="654"/>
      <c r="I73" s="654"/>
      <c r="J73" s="654"/>
      <c r="K73" s="654"/>
      <c r="L73" s="654"/>
      <c r="M73" s="654"/>
      <c r="O73" s="298"/>
      <c r="P73" s="298"/>
      <c r="Q73" s="299"/>
      <c r="S73" s="297"/>
      <c r="T73" s="298"/>
      <c r="U73" s="298"/>
      <c r="V73" s="300"/>
      <c r="W73" s="301"/>
      <c r="Y73" s="294"/>
      <c r="Z73" s="312"/>
      <c r="AA73" s="294"/>
      <c r="AB73" s="294"/>
      <c r="AC73" s="294"/>
      <c r="AD73" s="294"/>
      <c r="AE73" s="280"/>
    </row>
    <row r="74" spans="1:34" ht="208" x14ac:dyDescent="0.35">
      <c r="A74" s="23"/>
      <c r="B74" s="64"/>
      <c r="C74" s="84" t="s">
        <v>210</v>
      </c>
      <c r="D74" s="163">
        <f>D72+1</f>
        <v>47</v>
      </c>
      <c r="E74" s="184" t="s">
        <v>43</v>
      </c>
      <c r="F74" s="187" t="s">
        <v>43</v>
      </c>
      <c r="G74" s="173" t="s">
        <v>232</v>
      </c>
      <c r="H74" s="174" t="s">
        <v>233</v>
      </c>
      <c r="I74" s="271"/>
      <c r="J74" s="190"/>
      <c r="K74" s="228" t="s">
        <v>557</v>
      </c>
      <c r="L74" s="192" t="s">
        <v>234</v>
      </c>
      <c r="M74" s="193" t="s">
        <v>519</v>
      </c>
      <c r="O74" s="298" t="s">
        <v>676</v>
      </c>
      <c r="P74" s="298" t="s">
        <v>635</v>
      </c>
      <c r="Q74" s="299" t="s">
        <v>677</v>
      </c>
      <c r="S74" s="297" t="s">
        <v>678</v>
      </c>
      <c r="T74" s="298" t="s">
        <v>675</v>
      </c>
      <c r="U74" s="298" t="s">
        <v>679</v>
      </c>
      <c r="V74" s="300"/>
      <c r="W74" s="301"/>
      <c r="Y74" s="302">
        <v>47</v>
      </c>
      <c r="Z74" s="295" t="s">
        <v>232</v>
      </c>
      <c r="AA74" s="302" t="s">
        <v>233</v>
      </c>
      <c r="AB74" s="302" t="s">
        <v>394</v>
      </c>
      <c r="AC74" s="302" t="s">
        <v>473</v>
      </c>
      <c r="AD74" s="302" t="s">
        <v>474</v>
      </c>
      <c r="AE74" s="302"/>
    </row>
    <row r="75" spans="1:34" s="7" customFormat="1" ht="403" x14ac:dyDescent="0.35">
      <c r="A75" s="321"/>
      <c r="B75" s="64"/>
      <c r="C75" s="181" t="s">
        <v>210</v>
      </c>
      <c r="D75" s="164">
        <f>D74+1</f>
        <v>48</v>
      </c>
      <c r="E75" s="38" t="s">
        <v>43</v>
      </c>
      <c r="F75" s="198" t="s">
        <v>43</v>
      </c>
      <c r="G75" s="39" t="s">
        <v>235</v>
      </c>
      <c r="H75" s="41" t="s">
        <v>235</v>
      </c>
      <c r="I75" s="272"/>
      <c r="J75" s="40" t="s">
        <v>515</v>
      </c>
      <c r="K75" s="41" t="s">
        <v>516</v>
      </c>
      <c r="L75" s="41" t="s">
        <v>517</v>
      </c>
      <c r="M75" s="41" t="s">
        <v>518</v>
      </c>
      <c r="O75" s="298" t="s">
        <v>763</v>
      </c>
      <c r="P75" s="298" t="s">
        <v>764</v>
      </c>
      <c r="Q75" s="299" t="s">
        <v>759</v>
      </c>
      <c r="R75" s="280"/>
      <c r="S75" s="297" t="s">
        <v>680</v>
      </c>
      <c r="T75" s="298" t="s">
        <v>681</v>
      </c>
      <c r="U75" s="298" t="s">
        <v>818</v>
      </c>
      <c r="V75" s="300"/>
      <c r="W75" s="301"/>
      <c r="X75" s="280"/>
      <c r="Y75" s="294">
        <v>48</v>
      </c>
      <c r="Z75" s="312" t="s">
        <v>235</v>
      </c>
      <c r="AA75" s="294" t="s">
        <v>235</v>
      </c>
      <c r="AB75" s="294" t="s">
        <v>475</v>
      </c>
      <c r="AC75" s="294" t="s">
        <v>477</v>
      </c>
      <c r="AD75" s="294" t="s">
        <v>476</v>
      </c>
      <c r="AE75" s="294"/>
      <c r="AG75" s="280"/>
      <c r="AH75" s="280"/>
    </row>
    <row r="76" spans="1:34" ht="273" x14ac:dyDescent="0.35">
      <c r="A76" s="23"/>
      <c r="B76" s="64"/>
      <c r="C76" s="181" t="s">
        <v>210</v>
      </c>
      <c r="D76" s="164">
        <f>D75+1</f>
        <v>49</v>
      </c>
      <c r="E76" s="182" t="s">
        <v>43</v>
      </c>
      <c r="F76" s="186" t="s">
        <v>43</v>
      </c>
      <c r="G76" s="39" t="s">
        <v>236</v>
      </c>
      <c r="H76" s="41" t="s">
        <v>237</v>
      </c>
      <c r="I76" s="272"/>
      <c r="J76" s="45"/>
      <c r="K76" s="227" t="s">
        <v>455</v>
      </c>
      <c r="L76" s="189" t="s">
        <v>238</v>
      </c>
      <c r="M76" s="191" t="s">
        <v>239</v>
      </c>
      <c r="O76" s="298" t="s">
        <v>763</v>
      </c>
      <c r="P76" s="298" t="s">
        <v>764</v>
      </c>
      <c r="Q76" s="299" t="s">
        <v>682</v>
      </c>
      <c r="S76" s="297" t="s">
        <v>683</v>
      </c>
      <c r="T76" s="298" t="s">
        <v>681</v>
      </c>
      <c r="U76" s="298" t="s">
        <v>818</v>
      </c>
      <c r="V76" s="300"/>
      <c r="W76" s="301"/>
      <c r="Y76" s="302">
        <v>49</v>
      </c>
      <c r="Z76" s="312" t="s">
        <v>236</v>
      </c>
      <c r="AA76" s="302" t="s">
        <v>237</v>
      </c>
      <c r="AB76" s="302" t="s">
        <v>432</v>
      </c>
      <c r="AC76" s="302" t="s">
        <v>333</v>
      </c>
      <c r="AD76" s="302" t="s">
        <v>43</v>
      </c>
      <c r="AE76" s="302"/>
    </row>
    <row r="77" spans="1:34" ht="156" x14ac:dyDescent="0.35">
      <c r="A77" s="23"/>
      <c r="B77" s="64"/>
      <c r="C77" s="181" t="s">
        <v>210</v>
      </c>
      <c r="D77" s="164">
        <f>D76+1</f>
        <v>50</v>
      </c>
      <c r="E77" s="182" t="s">
        <v>43</v>
      </c>
      <c r="F77" s="186" t="s">
        <v>43</v>
      </c>
      <c r="G77" s="39" t="s">
        <v>236</v>
      </c>
      <c r="H77" s="41" t="s">
        <v>240</v>
      </c>
      <c r="I77" s="272"/>
      <c r="J77" s="45"/>
      <c r="K77" s="227" t="s">
        <v>454</v>
      </c>
      <c r="L77" s="189" t="s">
        <v>241</v>
      </c>
      <c r="M77" s="191" t="s">
        <v>242</v>
      </c>
      <c r="O77" s="298" t="s">
        <v>765</v>
      </c>
      <c r="P77" s="298" t="s">
        <v>635</v>
      </c>
      <c r="Q77" s="299" t="s">
        <v>682</v>
      </c>
      <c r="S77" s="297" t="s">
        <v>723</v>
      </c>
      <c r="T77" s="298" t="s">
        <v>681</v>
      </c>
      <c r="U77" s="298"/>
      <c r="V77" s="300"/>
      <c r="W77" s="301"/>
      <c r="Y77" s="294">
        <v>50</v>
      </c>
      <c r="Z77" s="320" t="s">
        <v>236</v>
      </c>
      <c r="AA77" s="294" t="s">
        <v>240</v>
      </c>
      <c r="AB77" s="294" t="s">
        <v>397</v>
      </c>
      <c r="AC77" s="294" t="s">
        <v>333</v>
      </c>
      <c r="AD77" s="294" t="s">
        <v>43</v>
      </c>
      <c r="AE77" s="294"/>
    </row>
    <row r="78" spans="1:34" ht="117" x14ac:dyDescent="0.35">
      <c r="A78" s="23"/>
      <c r="B78" s="64"/>
      <c r="C78" s="181" t="s">
        <v>210</v>
      </c>
      <c r="D78" s="164">
        <f>D77+1</f>
        <v>51</v>
      </c>
      <c r="E78" s="38" t="s">
        <v>43</v>
      </c>
      <c r="F78" s="198" t="s">
        <v>43</v>
      </c>
      <c r="G78" s="39" t="s">
        <v>236</v>
      </c>
      <c r="H78" s="41" t="s">
        <v>243</v>
      </c>
      <c r="I78" s="272"/>
      <c r="J78" s="40" t="s">
        <v>244</v>
      </c>
      <c r="K78" s="41" t="s">
        <v>245</v>
      </c>
      <c r="L78" s="41" t="s">
        <v>246</v>
      </c>
      <c r="M78" s="42" t="s">
        <v>247</v>
      </c>
      <c r="O78" s="298" t="s">
        <v>684</v>
      </c>
      <c r="P78" s="298" t="s">
        <v>635</v>
      </c>
      <c r="Q78" s="299" t="s">
        <v>636</v>
      </c>
      <c r="S78" s="297" t="s">
        <v>685</v>
      </c>
      <c r="T78" s="298" t="s">
        <v>686</v>
      </c>
      <c r="U78" s="298"/>
      <c r="V78" s="300"/>
      <c r="W78" s="301"/>
      <c r="Y78" s="302">
        <v>51</v>
      </c>
      <c r="Z78" s="312" t="s">
        <v>236</v>
      </c>
      <c r="AA78" s="302" t="s">
        <v>243</v>
      </c>
      <c r="AB78" s="302" t="s">
        <v>396</v>
      </c>
      <c r="AC78" s="302" t="s">
        <v>333</v>
      </c>
      <c r="AD78" s="302" t="s">
        <v>43</v>
      </c>
      <c r="AE78" s="302"/>
    </row>
    <row r="79" spans="1:34" ht="130.5" thickBot="1" x14ac:dyDescent="0.4">
      <c r="A79" s="23"/>
      <c r="B79" s="85"/>
      <c r="C79" s="181" t="s">
        <v>210</v>
      </c>
      <c r="D79" s="165">
        <f>D78+1</f>
        <v>52</v>
      </c>
      <c r="E79" s="185" t="s">
        <v>43</v>
      </c>
      <c r="F79" s="188" t="s">
        <v>43</v>
      </c>
      <c r="G79" s="177" t="s">
        <v>248</v>
      </c>
      <c r="H79" s="178" t="s">
        <v>249</v>
      </c>
      <c r="I79" s="273"/>
      <c r="J79" s="179"/>
      <c r="K79" s="229" t="s">
        <v>250</v>
      </c>
      <c r="L79" s="194" t="s">
        <v>251</v>
      </c>
      <c r="M79" s="195" t="s">
        <v>252</v>
      </c>
      <c r="O79" s="298" t="s">
        <v>590</v>
      </c>
      <c r="P79" s="298" t="s">
        <v>590</v>
      </c>
      <c r="Q79" s="299" t="s">
        <v>590</v>
      </c>
      <c r="S79" s="297"/>
      <c r="T79" s="298"/>
      <c r="U79" s="298"/>
      <c r="V79" s="300"/>
      <c r="W79" s="301"/>
      <c r="Y79" s="294">
        <v>52</v>
      </c>
      <c r="Z79" s="295" t="s">
        <v>248</v>
      </c>
      <c r="AA79" s="294" t="s">
        <v>249</v>
      </c>
      <c r="AB79" s="280" t="s">
        <v>478</v>
      </c>
      <c r="AC79" s="294" t="s">
        <v>333</v>
      </c>
      <c r="AD79" s="280" t="s">
        <v>43</v>
      </c>
      <c r="AE79" s="294"/>
    </row>
    <row r="80" spans="1:34" ht="15" thickBot="1" x14ac:dyDescent="0.4">
      <c r="A80" s="23"/>
      <c r="B80" s="31"/>
      <c r="C80" s="78"/>
      <c r="D80" s="78"/>
      <c r="E80" s="78"/>
      <c r="F80" s="78"/>
      <c r="G80" s="524" t="s">
        <v>253</v>
      </c>
      <c r="H80" s="654"/>
      <c r="I80" s="654"/>
      <c r="J80" s="654"/>
      <c r="K80" s="654"/>
      <c r="L80" s="654"/>
      <c r="M80" s="654"/>
      <c r="N80" s="344"/>
      <c r="O80" s="345"/>
      <c r="P80" s="345"/>
      <c r="Q80" s="345"/>
      <c r="R80" s="345"/>
      <c r="S80" s="345"/>
      <c r="T80" s="344"/>
      <c r="U80" s="345"/>
      <c r="V80" s="345"/>
      <c r="W80" s="335"/>
      <c r="Y80" s="294"/>
      <c r="Z80" s="295"/>
      <c r="AA80" s="294"/>
      <c r="AB80" s="280"/>
      <c r="AC80" s="294"/>
      <c r="AD80" s="280"/>
      <c r="AE80" s="294"/>
    </row>
    <row r="81" spans="1:31" ht="275.5" x14ac:dyDescent="0.35">
      <c r="A81" s="23"/>
      <c r="B81" s="31"/>
      <c r="C81" s="210" t="s">
        <v>210</v>
      </c>
      <c r="D81" s="163">
        <f>D79+1</f>
        <v>53</v>
      </c>
      <c r="E81" s="183" t="s">
        <v>43</v>
      </c>
      <c r="F81" s="167" t="s">
        <v>20</v>
      </c>
      <c r="G81" s="173" t="s">
        <v>254</v>
      </c>
      <c r="H81" s="174" t="s">
        <v>377</v>
      </c>
      <c r="I81" s="271"/>
      <c r="J81" s="175" t="s">
        <v>255</v>
      </c>
      <c r="K81" s="174"/>
      <c r="L81" s="174" t="s">
        <v>256</v>
      </c>
      <c r="M81" s="176" t="s">
        <v>558</v>
      </c>
      <c r="O81" s="298" t="s">
        <v>687</v>
      </c>
      <c r="P81" s="298" t="s">
        <v>611</v>
      </c>
      <c r="Q81" s="299" t="s">
        <v>688</v>
      </c>
      <c r="S81" s="297" t="s">
        <v>579</v>
      </c>
      <c r="T81" s="298" t="s">
        <v>689</v>
      </c>
      <c r="U81" s="298" t="s">
        <v>816</v>
      </c>
      <c r="V81" s="300"/>
      <c r="W81" s="301" t="s">
        <v>690</v>
      </c>
      <c r="Y81" s="302">
        <v>53</v>
      </c>
      <c r="Z81" s="295" t="s">
        <v>254</v>
      </c>
      <c r="AA81" s="302" t="s">
        <v>377</v>
      </c>
      <c r="AB81" s="302" t="s">
        <v>433</v>
      </c>
      <c r="AC81" s="302" t="s">
        <v>691</v>
      </c>
      <c r="AD81" s="302" t="s">
        <v>43</v>
      </c>
      <c r="AE81" s="302"/>
    </row>
    <row r="82" spans="1:31" ht="276" thickBot="1" x14ac:dyDescent="0.4">
      <c r="A82" s="23"/>
      <c r="B82" s="31"/>
      <c r="C82" s="71" t="s">
        <v>210</v>
      </c>
      <c r="D82" s="165">
        <f>D81+1</f>
        <v>54</v>
      </c>
      <c r="E82" s="166" t="s">
        <v>43</v>
      </c>
      <c r="F82" s="169" t="s">
        <v>20</v>
      </c>
      <c r="G82" s="177" t="s">
        <v>257</v>
      </c>
      <c r="H82" s="178" t="s">
        <v>258</v>
      </c>
      <c r="I82" s="273"/>
      <c r="J82" s="196" t="s">
        <v>259</v>
      </c>
      <c r="K82" s="178" t="s">
        <v>260</v>
      </c>
      <c r="L82" s="178" t="s">
        <v>261</v>
      </c>
      <c r="M82" s="180" t="s">
        <v>262</v>
      </c>
      <c r="O82" s="298" t="s">
        <v>692</v>
      </c>
      <c r="P82" s="298" t="s">
        <v>611</v>
      </c>
      <c r="Q82" s="299" t="s">
        <v>688</v>
      </c>
      <c r="S82" s="297" t="s">
        <v>579</v>
      </c>
      <c r="T82" s="298" t="s">
        <v>613</v>
      </c>
      <c r="U82" s="298" t="s">
        <v>816</v>
      </c>
      <c r="V82" s="300"/>
      <c r="W82" s="301" t="s">
        <v>690</v>
      </c>
      <c r="Y82" s="294">
        <v>54</v>
      </c>
      <c r="Z82" s="295" t="s">
        <v>257</v>
      </c>
      <c r="AA82" s="294" t="s">
        <v>258</v>
      </c>
      <c r="AB82" s="294" t="s">
        <v>374</v>
      </c>
      <c r="AC82" s="294" t="s">
        <v>373</v>
      </c>
      <c r="AD82" s="305" t="s">
        <v>693</v>
      </c>
      <c r="AE82" s="294"/>
    </row>
    <row r="83" spans="1:31" ht="15" thickBot="1" x14ac:dyDescent="0.4">
      <c r="A83" s="23"/>
      <c r="B83" s="86"/>
      <c r="C83" s="87"/>
      <c r="D83" s="47"/>
      <c r="E83" s="47"/>
      <c r="F83" s="47"/>
      <c r="G83" s="171" t="s">
        <v>210</v>
      </c>
      <c r="H83" s="172"/>
      <c r="I83" s="263"/>
      <c r="J83" s="172"/>
      <c r="K83" s="172"/>
      <c r="L83" s="172"/>
      <c r="M83" s="172"/>
      <c r="N83" s="171"/>
      <c r="O83" s="263"/>
      <c r="P83" s="172"/>
      <c r="Q83" s="172"/>
      <c r="R83" s="172"/>
      <c r="S83" s="172"/>
      <c r="T83" s="171"/>
      <c r="U83" s="172"/>
      <c r="V83" s="263"/>
      <c r="W83" s="172"/>
      <c r="Y83" s="294"/>
      <c r="Z83" s="295"/>
      <c r="AA83" s="294"/>
      <c r="AB83" s="294"/>
      <c r="AC83" s="294"/>
      <c r="AD83" s="305"/>
      <c r="AE83" s="294"/>
    </row>
    <row r="84" spans="1:31" ht="21.5" thickBot="1" x14ac:dyDescent="0.4">
      <c r="A84" s="23"/>
      <c r="B84" s="62"/>
      <c r="C84" s="63"/>
      <c r="D84" s="87"/>
      <c r="E84" s="87"/>
      <c r="F84" s="87"/>
      <c r="G84" s="88"/>
      <c r="H84" s="88"/>
      <c r="I84" s="266"/>
      <c r="J84" s="67"/>
      <c r="K84" s="61"/>
      <c r="L84" s="61"/>
      <c r="M84" s="61"/>
      <c r="N84" s="88"/>
      <c r="O84" s="266"/>
      <c r="P84" s="67"/>
      <c r="Q84" s="61"/>
      <c r="R84" s="61"/>
      <c r="S84" s="61"/>
      <c r="T84" s="88"/>
      <c r="U84" s="88"/>
      <c r="V84" s="266"/>
      <c r="W84" s="88"/>
      <c r="Y84" s="294"/>
      <c r="Z84" s="295"/>
      <c r="AA84" s="294"/>
      <c r="AB84" s="294"/>
      <c r="AC84" s="294"/>
      <c r="AD84" s="305"/>
      <c r="AE84" s="294"/>
    </row>
    <row r="85" spans="1:31" ht="16" thickBot="1" x14ac:dyDescent="0.4">
      <c r="A85" s="23"/>
      <c r="B85" s="31"/>
      <c r="C85" s="63"/>
      <c r="D85" s="63"/>
      <c r="E85" s="63"/>
      <c r="F85" s="63"/>
      <c r="G85" s="522" t="s">
        <v>263</v>
      </c>
      <c r="H85" s="655"/>
      <c r="I85" s="655"/>
      <c r="J85" s="655"/>
      <c r="K85" s="655"/>
      <c r="L85" s="655"/>
      <c r="M85" s="656"/>
      <c r="N85" s="337"/>
      <c r="O85" s="338"/>
      <c r="P85" s="338"/>
      <c r="Q85" s="338"/>
      <c r="R85" s="338"/>
      <c r="S85" s="339"/>
      <c r="T85" s="337"/>
      <c r="U85" s="338"/>
      <c r="V85" s="338"/>
      <c r="W85" s="334"/>
      <c r="Y85" s="294"/>
      <c r="Z85" s="295"/>
      <c r="AA85" s="294"/>
      <c r="AB85" s="294"/>
      <c r="AC85" s="294"/>
      <c r="AD85" s="305"/>
      <c r="AE85" s="294"/>
    </row>
    <row r="86" spans="1:31" ht="145" x14ac:dyDescent="0.35">
      <c r="A86" s="23"/>
      <c r="B86" s="31"/>
      <c r="C86" s="66" t="s">
        <v>264</v>
      </c>
      <c r="D86" s="163">
        <f>D82+1</f>
        <v>55</v>
      </c>
      <c r="E86" s="33" t="s">
        <v>39</v>
      </c>
      <c r="F86" s="167" t="s">
        <v>20</v>
      </c>
      <c r="G86" s="173" t="s">
        <v>265</v>
      </c>
      <c r="H86" s="174" t="s">
        <v>265</v>
      </c>
      <c r="I86" s="271"/>
      <c r="J86" s="175" t="s">
        <v>266</v>
      </c>
      <c r="K86" s="174" t="s">
        <v>267</v>
      </c>
      <c r="L86" s="174" t="s">
        <v>268</v>
      </c>
      <c r="M86" s="176" t="s">
        <v>269</v>
      </c>
      <c r="O86" s="298" t="s">
        <v>694</v>
      </c>
      <c r="P86" s="298" t="s">
        <v>695</v>
      </c>
      <c r="Q86" s="299" t="s">
        <v>695</v>
      </c>
      <c r="S86" s="297" t="s">
        <v>696</v>
      </c>
      <c r="T86" s="298" t="s">
        <v>697</v>
      </c>
      <c r="U86" s="298" t="s">
        <v>698</v>
      </c>
      <c r="V86" s="300"/>
      <c r="W86" s="301" t="s">
        <v>592</v>
      </c>
      <c r="Y86" s="302">
        <v>55</v>
      </c>
      <c r="Z86" s="295" t="s">
        <v>265</v>
      </c>
      <c r="AA86" s="302" t="s">
        <v>265</v>
      </c>
      <c r="AB86" s="302" t="s">
        <v>434</v>
      </c>
      <c r="AC86" s="302" t="s">
        <v>358</v>
      </c>
      <c r="AD86" s="302" t="s">
        <v>699</v>
      </c>
      <c r="AE86" s="302"/>
    </row>
    <row r="87" spans="1:31" ht="246.5" x14ac:dyDescent="0.35">
      <c r="A87" s="23"/>
      <c r="B87" s="31"/>
      <c r="C87" s="66" t="s">
        <v>264</v>
      </c>
      <c r="D87" s="164">
        <f>D86+1</f>
        <v>56</v>
      </c>
      <c r="E87" s="44" t="s">
        <v>39</v>
      </c>
      <c r="F87" s="168" t="s">
        <v>20</v>
      </c>
      <c r="G87" s="39" t="s">
        <v>270</v>
      </c>
      <c r="H87" s="41" t="s">
        <v>270</v>
      </c>
      <c r="I87" s="272"/>
      <c r="J87" s="40" t="s">
        <v>271</v>
      </c>
      <c r="K87" s="41" t="s">
        <v>272</v>
      </c>
      <c r="L87" s="41" t="s">
        <v>43</v>
      </c>
      <c r="M87" s="42" t="s">
        <v>273</v>
      </c>
      <c r="O87" s="298" t="s">
        <v>700</v>
      </c>
      <c r="P87" s="298" t="s">
        <v>578</v>
      </c>
      <c r="Q87" s="299" t="s">
        <v>701</v>
      </c>
      <c r="S87" s="297" t="s">
        <v>580</v>
      </c>
      <c r="T87" s="298" t="s">
        <v>702</v>
      </c>
      <c r="U87" s="298" t="s">
        <v>698</v>
      </c>
      <c r="V87" s="300"/>
      <c r="W87" s="301"/>
      <c r="Y87" s="294">
        <v>56</v>
      </c>
      <c r="Z87" s="295" t="s">
        <v>270</v>
      </c>
      <c r="AA87" s="294" t="s">
        <v>270</v>
      </c>
      <c r="AB87" s="294" t="s">
        <v>435</v>
      </c>
      <c r="AC87" s="294" t="s">
        <v>375</v>
      </c>
      <c r="AD87" s="294" t="s">
        <v>703</v>
      </c>
      <c r="AE87" s="294" t="s">
        <v>704</v>
      </c>
    </row>
    <row r="88" spans="1:31" ht="130.5" x14ac:dyDescent="0.35">
      <c r="A88" s="23"/>
      <c r="B88" s="31"/>
      <c r="C88" s="66" t="s">
        <v>264</v>
      </c>
      <c r="D88" s="164">
        <f>D87+1</f>
        <v>57</v>
      </c>
      <c r="E88" s="44" t="s">
        <v>39</v>
      </c>
      <c r="F88" s="168" t="s">
        <v>20</v>
      </c>
      <c r="G88" s="39" t="s">
        <v>274</v>
      </c>
      <c r="H88" s="41" t="s">
        <v>275</v>
      </c>
      <c r="I88" s="272"/>
      <c r="J88" s="40" t="s">
        <v>276</v>
      </c>
      <c r="K88" s="41" t="s">
        <v>277</v>
      </c>
      <c r="L88" s="41" t="s">
        <v>278</v>
      </c>
      <c r="M88" s="42" t="s">
        <v>279</v>
      </c>
      <c r="O88" s="298" t="s">
        <v>766</v>
      </c>
      <c r="P88" s="298" t="s">
        <v>705</v>
      </c>
      <c r="Q88" s="299" t="s">
        <v>706</v>
      </c>
      <c r="S88" s="297" t="s">
        <v>707</v>
      </c>
      <c r="T88" s="298" t="s">
        <v>708</v>
      </c>
      <c r="U88" s="298" t="s">
        <v>698</v>
      </c>
      <c r="V88" s="300"/>
      <c r="W88" s="301"/>
      <c r="Y88" s="302">
        <v>57</v>
      </c>
      <c r="Z88" s="295" t="s">
        <v>274</v>
      </c>
      <c r="AA88" s="302" t="s">
        <v>275</v>
      </c>
      <c r="AB88" s="302" t="s">
        <v>376</v>
      </c>
      <c r="AC88" s="302" t="s">
        <v>487</v>
      </c>
      <c r="AD88" s="302" t="s">
        <v>709</v>
      </c>
      <c r="AE88" s="302"/>
    </row>
    <row r="89" spans="1:31" ht="87" x14ac:dyDescent="0.35">
      <c r="A89" s="23"/>
      <c r="B89" s="31"/>
      <c r="C89" s="209" t="s">
        <v>264</v>
      </c>
      <c r="D89" s="164">
        <f>D88+1</f>
        <v>58</v>
      </c>
      <c r="E89" s="44" t="s">
        <v>39</v>
      </c>
      <c r="F89" s="168" t="s">
        <v>20</v>
      </c>
      <c r="G89" s="39" t="s">
        <v>167</v>
      </c>
      <c r="H89" s="41" t="s">
        <v>280</v>
      </c>
      <c r="I89" s="272"/>
      <c r="J89" s="40" t="s">
        <v>281</v>
      </c>
      <c r="K89" s="41" t="s">
        <v>282</v>
      </c>
      <c r="L89" s="41" t="s">
        <v>283</v>
      </c>
      <c r="M89" s="42" t="s">
        <v>284</v>
      </c>
      <c r="O89" s="298" t="s">
        <v>710</v>
      </c>
      <c r="P89" s="298" t="s">
        <v>767</v>
      </c>
      <c r="Q89" s="299" t="s">
        <v>711</v>
      </c>
      <c r="S89" s="297" t="s">
        <v>714</v>
      </c>
      <c r="T89" s="298" t="s">
        <v>823</v>
      </c>
      <c r="U89" s="298" t="s">
        <v>822</v>
      </c>
      <c r="V89" s="300"/>
      <c r="W89" s="301"/>
      <c r="Y89" s="294">
        <v>58</v>
      </c>
      <c r="Z89" s="295" t="s">
        <v>167</v>
      </c>
      <c r="AA89" s="294" t="s">
        <v>280</v>
      </c>
      <c r="AB89" s="294" t="s">
        <v>395</v>
      </c>
      <c r="AC89" s="294" t="s">
        <v>43</v>
      </c>
      <c r="AD89" s="294" t="s">
        <v>43</v>
      </c>
      <c r="AE89" s="294"/>
    </row>
    <row r="90" spans="1:31" ht="117.5" thickBot="1" x14ac:dyDescent="0.4">
      <c r="A90" s="23"/>
      <c r="B90" s="70"/>
      <c r="C90" s="65" t="s">
        <v>264</v>
      </c>
      <c r="D90" s="165">
        <f>D89+1</f>
        <v>59</v>
      </c>
      <c r="E90" s="46" t="s">
        <v>39</v>
      </c>
      <c r="F90" s="169" t="s">
        <v>20</v>
      </c>
      <c r="G90" s="177" t="s">
        <v>285</v>
      </c>
      <c r="H90" s="178" t="s">
        <v>286</v>
      </c>
      <c r="I90" s="273"/>
      <c r="J90" s="196" t="s">
        <v>287</v>
      </c>
      <c r="K90" s="178" t="s">
        <v>288</v>
      </c>
      <c r="L90" s="178" t="s">
        <v>43</v>
      </c>
      <c r="M90" s="180" t="s">
        <v>289</v>
      </c>
      <c r="O90" s="298" t="s">
        <v>712</v>
      </c>
      <c r="P90" s="298" t="s">
        <v>767</v>
      </c>
      <c r="Q90" s="299" t="s">
        <v>713</v>
      </c>
      <c r="S90" s="297" t="s">
        <v>714</v>
      </c>
      <c r="T90" s="298" t="s">
        <v>708</v>
      </c>
      <c r="U90" s="298" t="s">
        <v>698</v>
      </c>
      <c r="V90" s="300"/>
      <c r="W90" s="301"/>
      <c r="Y90" s="302">
        <v>59</v>
      </c>
      <c r="Z90" s="295" t="s">
        <v>285</v>
      </c>
      <c r="AA90" s="302" t="s">
        <v>286</v>
      </c>
      <c r="AB90" s="302" t="s">
        <v>390</v>
      </c>
      <c r="AC90" s="302" t="s">
        <v>392</v>
      </c>
      <c r="AD90" s="302" t="s">
        <v>449</v>
      </c>
      <c r="AE90" s="302" t="s">
        <v>450</v>
      </c>
    </row>
    <row r="91" spans="1:31" ht="15" thickBot="1" x14ac:dyDescent="0.4">
      <c r="A91" s="23"/>
      <c r="B91" s="70"/>
      <c r="C91" s="47"/>
      <c r="D91" s="47"/>
      <c r="E91" s="47"/>
      <c r="F91" s="47"/>
      <c r="G91" s="171" t="s">
        <v>264</v>
      </c>
      <c r="H91" s="172"/>
      <c r="I91" s="263"/>
      <c r="J91" s="172"/>
      <c r="K91" s="172"/>
      <c r="L91" s="172"/>
      <c r="M91" s="172"/>
      <c r="N91" s="172"/>
      <c r="O91" s="172"/>
      <c r="P91" s="172"/>
      <c r="Q91" s="172"/>
      <c r="R91" s="172"/>
      <c r="S91" s="172"/>
      <c r="T91" s="172"/>
      <c r="U91" s="172"/>
      <c r="V91" s="172"/>
      <c r="W91" s="172"/>
    </row>
    <row r="92" spans="1:31" x14ac:dyDescent="0.35">
      <c r="A92" s="23"/>
      <c r="B92" s="91"/>
      <c r="C92" s="90"/>
      <c r="D92" s="47"/>
      <c r="E92" s="47"/>
      <c r="F92" s="47"/>
      <c r="G92" s="23"/>
      <c r="H92" s="23"/>
      <c r="I92" s="267"/>
      <c r="J92" s="23"/>
      <c r="K92" s="23"/>
      <c r="L92" s="23"/>
      <c r="M92" s="23"/>
      <c r="N92" s="23"/>
      <c r="O92" s="23"/>
      <c r="P92" s="23"/>
      <c r="Q92" s="23"/>
      <c r="R92" s="23"/>
      <c r="S92" s="23"/>
      <c r="T92" s="23"/>
      <c r="U92" s="23"/>
      <c r="V92" s="23"/>
      <c r="W92" s="23"/>
    </row>
  </sheetData>
  <mergeCells count="27">
    <mergeCell ref="AH9:AI9"/>
    <mergeCell ref="C5:C7"/>
    <mergeCell ref="D5:D7"/>
    <mergeCell ref="E5:E7"/>
    <mergeCell ref="F5:F7"/>
    <mergeCell ref="G5:G7"/>
    <mergeCell ref="O3:Q3"/>
    <mergeCell ref="S3:V3"/>
    <mergeCell ref="G52:M52"/>
    <mergeCell ref="K5:K7"/>
    <mergeCell ref="L5:L7"/>
    <mergeCell ref="M5:M7"/>
    <mergeCell ref="G9:M9"/>
    <mergeCell ref="G17:M17"/>
    <mergeCell ref="G26:M26"/>
    <mergeCell ref="G36:M36"/>
    <mergeCell ref="H5:H7"/>
    <mergeCell ref="I5:I7"/>
    <mergeCell ref="J5:J7"/>
    <mergeCell ref="Q5:Q7"/>
    <mergeCell ref="O5:O7"/>
    <mergeCell ref="P5:P7"/>
    <mergeCell ref="G67:M67"/>
    <mergeCell ref="G68:M68"/>
    <mergeCell ref="G73:M73"/>
    <mergeCell ref="G80:M80"/>
    <mergeCell ref="G85:M85"/>
  </mergeCells>
  <conditionalFormatting sqref="C47">
    <cfRule type="expression" dxfId="117" priority="23">
      <formula>#REF! ="N"</formula>
    </cfRule>
  </conditionalFormatting>
  <conditionalFormatting sqref="C49">
    <cfRule type="expression" dxfId="116" priority="24">
      <formula>#REF! ="N"</formula>
    </cfRule>
  </conditionalFormatting>
  <conditionalFormatting sqref="C69 C71">
    <cfRule type="expression" dxfId="115" priority="25">
      <formula>#REF! ="N"</formula>
    </cfRule>
  </conditionalFormatting>
  <conditionalFormatting sqref="C74:C79">
    <cfRule type="expression" dxfId="114" priority="21">
      <formula>#REF! ="N"</formula>
    </cfRule>
  </conditionalFormatting>
  <conditionalFormatting sqref="C81:C82">
    <cfRule type="expression" dxfId="113" priority="20">
      <formula>#REF! ="N"</formula>
    </cfRule>
  </conditionalFormatting>
  <conditionalFormatting sqref="C85">
    <cfRule type="expression" dxfId="112" priority="19">
      <formula>#REF! ="N"</formula>
    </cfRule>
  </conditionalFormatting>
  <conditionalFormatting sqref="D84:F85">
    <cfRule type="expression" dxfId="111" priority="26">
      <formula>#REF! ="N"</formula>
    </cfRule>
  </conditionalFormatting>
  <conditionalFormatting sqref="D10:M14 D18:M23 D27:M33 D37:M49 D69:M72 D74:M79 D81:M82 D86:M90">
    <cfRule type="expression" dxfId="110" priority="28">
      <formula>#REF!=0</formula>
    </cfRule>
  </conditionalFormatting>
  <conditionalFormatting sqref="D53:M64">
    <cfRule type="expression" dxfId="109" priority="1">
      <formula>#REF!=0</formula>
    </cfRule>
  </conditionalFormatting>
  <conditionalFormatting sqref="G84:W84">
    <cfRule type="expression" dxfId="108" priority="3">
      <formula>#REF! ="N"</formula>
    </cfRule>
  </conditionalFormatting>
  <conditionalFormatting sqref="Y63:Y78">
    <cfRule type="expression" dxfId="107" priority="14">
      <formula>#REF! ="N"</formula>
    </cfRule>
  </conditionalFormatting>
  <conditionalFormatting sqref="Z47:Z63">
    <cfRule type="expression" dxfId="106" priority="6">
      <formula>#REF! ="N"</formula>
    </cfRule>
  </conditionalFormatting>
  <conditionalFormatting sqref="Z65:Z69 C70:C72">
    <cfRule type="expression" dxfId="105" priority="18">
      <formula>#REF! ="N"</formula>
    </cfRule>
  </conditionalFormatting>
  <conditionalFormatting sqref="Z71 Z74 Z76 Z78 Z81 Z86 Z88">
    <cfRule type="expression" dxfId="104" priority="13">
      <formula>#REF! ="N"</formula>
    </cfRule>
  </conditionalFormatting>
  <conditionalFormatting sqref="Z90">
    <cfRule type="expression" dxfId="103" priority="7">
      <formula>#REF! ="N"</formula>
    </cfRule>
  </conditionalFormatting>
  <conditionalFormatting sqref="AA63:AA78">
    <cfRule type="expression" dxfId="102" priority="17">
      <formula>#REF! ="N"</formula>
    </cfRule>
  </conditionalFormatting>
  <hyperlinks>
    <hyperlink ref="AD11" r:id="rId1" display="LTN 1/20" xr:uid="{4F02F861-34A3-4454-966D-7BA3DC51C18F}"/>
    <hyperlink ref="AD29" r:id="rId2" xr:uid="{B8BBEF02-90E1-4034-ADFE-EF3EBF35A8C9}"/>
    <hyperlink ref="AD53" r:id="rId3" xr:uid="{6AC850F2-3D02-4883-AAAF-F9E81DE56308}"/>
    <hyperlink ref="AD31" r:id="rId4" xr:uid="{E4E1A29D-C7B9-4893-A9BA-ABFCD1C481AA}"/>
    <hyperlink ref="AD54" r:id="rId5" xr:uid="{B70DC5CC-972E-4C45-8E56-F1C893837EE8}"/>
    <hyperlink ref="AD58" r:id="rId6" display="https://www.rnib.org.uk/get-involved/support-a-campaign/inclusive-journeys/making-our-streets-inclusive-for-everyone/" xr:uid="{8B0F4B62-9314-44E0-B1FC-73C5E920F45C}"/>
    <hyperlink ref="AD60" r:id="rId7" xr:uid="{3AF2C005-6C8A-4E8A-B32A-9A2575D88065}"/>
    <hyperlink ref="AD63" r:id="rId8" xr:uid="{DE11E40B-8AC9-4FCE-B3D6-1C5F37F8D186}"/>
    <hyperlink ref="AD27" r:id="rId9" display="inclusive-mobility-a-guide-to-best-practice-on-access-to-pedestrian-and-transport-infrastructure.pdf" xr:uid="{884AB3E3-9FC6-44D8-BF0F-C6A5A5ECC1B1}"/>
    <hyperlink ref="AD21" r:id="rId10" display="https://assets.publishing.service.gov.uk/government/uploads/system/uploads/attachment_data/file/851465/dft-traffic-signs-manual-chapter-6.pdf" xr:uid="{DEDCEB1E-F3B0-4672-A329-3EC72B3EFE73}"/>
    <hyperlink ref="AD23" r:id="rId11" display="https://assets.publishing.service.gov.uk/government/uploads/system/uploads/attachment_data/file/1046126/guidance-on-the-use-of-tactile-paving-surfaces.pdf" xr:uid="{713067A6-7FF4-4465-A606-DF4ED39E6D78}"/>
    <hyperlink ref="AD40" r:id="rId12" display="https://assets.publishing.service.gov.uk/government/uploads/system/uploads/attachment_data/file/951074/cycle-infrastructure-design-ltn-1-20.pdf" xr:uid="{445D9345-76D7-487A-9EE9-A94C29A61691}"/>
    <hyperlink ref="AD42" r:id="rId13" display="https://assets.publishing.service.gov.uk/government/uploads/system/uploads/attachment_data/file/951074/cycle-infrastructure-design-ltn-1-20.pdf" xr:uid="{9E837636-BFCE-49F6-ACEC-81672C4F1A79}"/>
    <hyperlink ref="AD44" r:id="rId14" display="https://assets.publishing.service.gov.uk/government/uploads/system/uploads/attachment_data/file/951074/cycle-infrastructure-design-ltn-1-20.pdf" xr:uid="{E6C7A65F-5A27-42D9-B5C1-B724209ACD89}"/>
    <hyperlink ref="AD46" r:id="rId15" display="https://assets.publishing.service.gov.uk/government/uploads/system/uploads/attachment_data/file/951074/cycle-infrastructure-design-ltn-1-20.pdf" xr:uid="{2E508436-E468-485F-B535-0AD14FBF53F5}"/>
    <hyperlink ref="AD41" r:id="rId16" display="https://assets.publishing.service.gov.uk/government/uploads/system/uploads/attachment_data/file/951074/cycle-infrastructure-design-ltn-1-20.pdf" xr:uid="{6480D78B-1E65-4C1E-A75B-09DCDD9A1575}"/>
    <hyperlink ref="AD48" r:id="rId17" display="https://assets.publishing.service.gov.uk/government/uploads/system/uploads/attachment_data/file/951074/cycle-infrastructure-design-ltn-1-20.pdf" xr:uid="{E7854C5E-51A0-4A8D-B157-1853DD426CE1}"/>
    <hyperlink ref="AD49" r:id="rId18" display="https://assets.publishing.service.gov.uk/government/uploads/system/uploads/attachment_data/file/951074/cycle-infrastructure-design-ltn-1-20.pdf" xr:uid="{529F92F1-DDC8-4F2A-9AE0-934A08BB9AFA}"/>
    <hyperlink ref="AD61" r:id="rId19" xr:uid="{C9284362-6BA9-4AAE-9EEF-38C82DEB86BE}"/>
    <hyperlink ref="AE10" r:id="rId20" xr:uid="{69D47BE2-052E-4147-A39E-634AEE77FD08}"/>
    <hyperlink ref="AD13" r:id="rId21" xr:uid="{FA06A0C0-EC7D-452C-A9E5-4086AB4E2668}"/>
    <hyperlink ref="AE32" r:id="rId22" display="http://www.urbanmovement.co.uk/uploads/1/4/1/9/14194615/bee_a_champion_2019_web.pdf" xr:uid="{0AA89CF5-ED16-4AC0-B07A-BA209F148749}"/>
    <hyperlink ref="AE33" r:id="rId23" xr:uid="{F2B2E54C-4F5B-41F7-8E91-91E0741C1274}"/>
    <hyperlink ref="AE37" r:id="rId24" xr:uid="{3943BB91-EAE5-4235-8C30-D19A2F0E75ED}"/>
    <hyperlink ref="AE55" r:id="rId25" xr:uid="{36DB6D74-F37B-4CAB-9CB2-E19F298CA528}"/>
    <hyperlink ref="AE62" r:id="rId26" xr:uid="{2CA863E3-B405-477A-8118-F99258E4286A}"/>
    <hyperlink ref="AE70" r:id="rId27" xr:uid="{4668FEBE-CB7B-450E-87EE-6C49A5A9F3DC}"/>
    <hyperlink ref="AE54" r:id="rId28" xr:uid="{C2505D80-1112-4128-9F0C-8DEADF984410}"/>
  </hyperlinks>
  <pageMargins left="0.7" right="0.7" top="0.75" bottom="0.75" header="0.3" footer="0.3"/>
  <pageSetup paperSize="9" orientation="portrait" r:id="rId29"/>
  <legacy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04B35-B0D8-45E7-9BEA-E7E110B93D8B}">
  <sheetPr>
    <tabColor rgb="FFFF7D7D"/>
    <pageSetUpPr autoPageBreaks="0" fitToPage="1"/>
  </sheetPr>
  <dimension ref="A1:BX90"/>
  <sheetViews>
    <sheetView workbookViewId="0"/>
  </sheetViews>
  <sheetFormatPr defaultColWidth="9.1796875" defaultRowHeight="14.5" x14ac:dyDescent="0.35"/>
  <cols>
    <col min="1" max="1" width="2.81640625" style="2" customWidth="1"/>
    <col min="2" max="2" width="2.81640625" style="91" customWidth="1"/>
    <col min="3" max="3" width="14.81640625" style="90" hidden="1" customWidth="1"/>
    <col min="4" max="4" width="4.81640625" style="90" customWidth="1"/>
    <col min="5" max="6" width="4.1796875" style="90" hidden="1" customWidth="1"/>
    <col min="7" max="7" width="22.1796875" customWidth="1"/>
    <col min="8" max="8" width="32.81640625" style="2" customWidth="1"/>
    <col min="9" max="9" width="14.81640625" style="268" customWidth="1"/>
    <col min="10" max="13" width="32.81640625" style="2" customWidth="1"/>
    <col min="14" max="14" width="41.1796875" style="2" hidden="1" customWidth="1"/>
    <col min="15" max="15" width="13.453125" style="2" customWidth="1"/>
    <col min="16" max="16" width="10.453125" style="2" customWidth="1"/>
    <col min="17" max="20" width="32.81640625" style="2" customWidth="1"/>
    <col min="21" max="41" width="34.1796875" style="2" customWidth="1"/>
    <col min="42" max="42" width="1.81640625" style="2" customWidth="1"/>
    <col min="43" max="63" width="34.1796875" style="2" customWidth="1"/>
    <col min="64" max="64" width="1.81640625" style="2" customWidth="1"/>
    <col min="65" max="65" width="58.54296875" style="2" customWidth="1"/>
    <col min="66" max="66" width="1.81640625" style="2" customWidth="1"/>
    <col min="67" max="67" width="80.54296875" style="2" customWidth="1"/>
    <col min="68" max="68" width="4.1796875" style="23" customWidth="1"/>
    <col min="69" max="71" width="8.81640625" hidden="1" customWidth="1"/>
    <col min="72" max="76" width="69.54296875" style="2" hidden="1" customWidth="1"/>
    <col min="77" max="77" width="69.54296875" style="2" customWidth="1"/>
    <col min="78" max="16384" width="9.1796875" style="2"/>
  </cols>
  <sheetData>
    <row r="1" spans="1:76" ht="82.5" customHeight="1" x14ac:dyDescent="0.35">
      <c r="A1" s="23"/>
      <c r="B1" s="18"/>
      <c r="C1" s="25"/>
      <c r="D1" s="25"/>
      <c r="E1" s="25"/>
      <c r="F1" s="25"/>
      <c r="G1" s="398" t="s">
        <v>921</v>
      </c>
      <c r="H1" s="25"/>
      <c r="I1" s="25"/>
      <c r="J1" s="25"/>
      <c r="K1" s="25"/>
      <c r="L1" s="25"/>
      <c r="M1" s="25"/>
      <c r="N1" s="25"/>
      <c r="O1" s="25"/>
      <c r="P1" s="25"/>
      <c r="Q1" s="25"/>
      <c r="R1" s="25"/>
      <c r="S1" s="25"/>
      <c r="T1" s="25"/>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T1" s="23"/>
      <c r="BU1" s="23"/>
      <c r="BV1" s="23"/>
      <c r="BW1" s="23"/>
      <c r="BX1" s="23"/>
    </row>
    <row r="2" spans="1:76" ht="27.75" customHeight="1" thickBot="1" x14ac:dyDescent="0.4">
      <c r="A2" s="23"/>
      <c r="B2" s="18"/>
      <c r="C2" s="19"/>
      <c r="D2" s="23"/>
      <c r="E2" s="19"/>
      <c r="F2" s="19"/>
      <c r="G2" s="20"/>
      <c r="H2" s="20"/>
      <c r="I2" s="262"/>
      <c r="J2" s="20"/>
      <c r="K2" s="20"/>
      <c r="L2" s="20"/>
      <c r="M2" s="23"/>
      <c r="N2" s="23"/>
      <c r="O2" s="21"/>
      <c r="P2" s="23"/>
      <c r="Q2" s="20"/>
      <c r="R2" s="20"/>
      <c r="S2" s="20"/>
      <c r="T2" s="20"/>
      <c r="U2" s="22"/>
      <c r="V2" s="22"/>
      <c r="W2" s="22"/>
      <c r="X2" s="22"/>
      <c r="Y2" s="22"/>
      <c r="Z2" s="22"/>
      <c r="AA2" s="22"/>
      <c r="AB2" s="22"/>
      <c r="AC2" s="22"/>
      <c r="AD2" s="22"/>
      <c r="AE2" s="22"/>
      <c r="AF2" s="22"/>
      <c r="AG2" s="22"/>
      <c r="AH2" s="22"/>
      <c r="AI2" s="22"/>
      <c r="AJ2" s="22"/>
      <c r="AK2" s="22"/>
      <c r="AL2" s="22"/>
      <c r="AM2" s="22"/>
      <c r="AN2" s="22"/>
      <c r="AO2" s="22"/>
      <c r="AP2" s="23"/>
      <c r="AQ2" s="22"/>
      <c r="AR2" s="22"/>
      <c r="AS2" s="22"/>
      <c r="AT2" s="22"/>
      <c r="AU2" s="22"/>
      <c r="AV2" s="22"/>
      <c r="AW2" s="22"/>
      <c r="AX2" s="22"/>
      <c r="AY2" s="22"/>
      <c r="AZ2" s="22"/>
      <c r="BA2" s="22"/>
      <c r="BB2" s="22"/>
      <c r="BC2" s="22"/>
      <c r="BD2" s="22"/>
      <c r="BE2" s="22"/>
      <c r="BF2" s="22"/>
      <c r="BG2" s="22"/>
      <c r="BH2" s="22"/>
      <c r="BI2" s="22"/>
      <c r="BJ2" s="22"/>
      <c r="BK2" s="22"/>
      <c r="BL2" s="23"/>
      <c r="BM2" s="23"/>
      <c r="BN2" s="23"/>
      <c r="BO2" s="23"/>
      <c r="BT2" s="23"/>
      <c r="BU2" s="23"/>
      <c r="BV2" s="23"/>
      <c r="BW2" s="23"/>
      <c r="BX2" s="23"/>
    </row>
    <row r="3" spans="1:76" ht="16" thickBot="1" x14ac:dyDescent="0.4">
      <c r="A3" s="23"/>
      <c r="B3" s="18"/>
      <c r="C3" s="502"/>
      <c r="D3" s="502"/>
      <c r="E3" s="503" t="s">
        <v>12</v>
      </c>
      <c r="F3" s="504" t="s">
        <v>13</v>
      </c>
      <c r="G3" s="521" t="s">
        <v>14</v>
      </c>
      <c r="H3" s="520" t="s">
        <v>529</v>
      </c>
      <c r="I3" s="667" t="s">
        <v>572</v>
      </c>
      <c r="J3" s="670" t="s">
        <v>543</v>
      </c>
      <c r="K3" s="516">
        <v>0</v>
      </c>
      <c r="L3" s="517">
        <v>1</v>
      </c>
      <c r="M3" s="518">
        <v>2</v>
      </c>
      <c r="N3" s="24"/>
      <c r="O3" s="507" t="s">
        <v>11</v>
      </c>
      <c r="P3" s="508"/>
      <c r="Q3" s="508"/>
      <c r="R3" s="508"/>
      <c r="S3" s="508"/>
      <c r="T3" s="509"/>
      <c r="U3" s="505" t="s">
        <v>718</v>
      </c>
      <c r="V3" s="505"/>
      <c r="W3" s="505"/>
      <c r="X3" s="505"/>
      <c r="Y3" s="505"/>
      <c r="Z3" s="505"/>
      <c r="AA3" s="505"/>
      <c r="AB3" s="505"/>
      <c r="AC3" s="505"/>
      <c r="AD3" s="505"/>
      <c r="AE3" s="505"/>
      <c r="AF3" s="505"/>
      <c r="AG3" s="505"/>
      <c r="AH3" s="505"/>
      <c r="AI3" s="505"/>
      <c r="AJ3" s="505"/>
      <c r="AK3" s="505"/>
      <c r="AL3" s="505"/>
      <c r="AM3" s="505"/>
      <c r="AN3" s="506"/>
      <c r="AO3" s="130"/>
      <c r="AP3" s="23"/>
      <c r="AQ3" s="505" t="s">
        <v>719</v>
      </c>
      <c r="AR3" s="505"/>
      <c r="AS3" s="505"/>
      <c r="AT3" s="505"/>
      <c r="AU3" s="505"/>
      <c r="AV3" s="505"/>
      <c r="AW3" s="505"/>
      <c r="AX3" s="505"/>
      <c r="AY3" s="505"/>
      <c r="AZ3" s="505"/>
      <c r="BA3" s="505"/>
      <c r="BB3" s="505"/>
      <c r="BC3" s="505"/>
      <c r="BD3" s="505"/>
      <c r="BE3" s="505"/>
      <c r="BF3" s="505"/>
      <c r="BG3" s="505"/>
      <c r="BH3" s="505"/>
      <c r="BI3" s="505"/>
      <c r="BJ3" s="506"/>
      <c r="BK3" s="130"/>
      <c r="BL3" s="23"/>
      <c r="BM3" s="499" t="s">
        <v>16</v>
      </c>
      <c r="BN3" s="23"/>
      <c r="BO3" s="499" t="s">
        <v>17</v>
      </c>
      <c r="BT3" s="507" t="s">
        <v>18</v>
      </c>
      <c r="BU3" s="508"/>
      <c r="BV3" s="508"/>
      <c r="BW3" s="509"/>
      <c r="BX3" s="499" t="s">
        <v>19</v>
      </c>
    </row>
    <row r="4" spans="1:76" ht="16" thickBot="1" x14ac:dyDescent="0.4">
      <c r="A4" s="23"/>
      <c r="B4" s="18"/>
      <c r="C4" s="502"/>
      <c r="D4" s="502"/>
      <c r="E4" s="682"/>
      <c r="F4" s="684"/>
      <c r="G4" s="686"/>
      <c r="H4" s="665"/>
      <c r="I4" s="668"/>
      <c r="J4" s="670"/>
      <c r="K4" s="659"/>
      <c r="L4" s="661"/>
      <c r="M4" s="663"/>
      <c r="N4" s="24"/>
      <c r="O4" s="510"/>
      <c r="P4" s="511"/>
      <c r="Q4" s="511"/>
      <c r="R4" s="511"/>
      <c r="S4" s="511"/>
      <c r="T4" s="512"/>
      <c r="U4" s="533" t="s">
        <v>802</v>
      </c>
      <c r="V4" s="530"/>
      <c r="W4" s="531"/>
      <c r="X4" s="526" t="s">
        <v>12</v>
      </c>
      <c r="Y4" s="527"/>
      <c r="Z4" s="527"/>
      <c r="AA4" s="530" t="s">
        <v>13</v>
      </c>
      <c r="AB4" s="530"/>
      <c r="AC4" s="531"/>
      <c r="AD4" s="526" t="s">
        <v>804</v>
      </c>
      <c r="AE4" s="527"/>
      <c r="AF4" s="527"/>
      <c r="AG4" s="530" t="s">
        <v>728</v>
      </c>
      <c r="AH4" s="530"/>
      <c r="AI4" s="531"/>
      <c r="AJ4" s="526" t="s">
        <v>726</v>
      </c>
      <c r="AK4" s="527"/>
      <c r="AL4" s="527"/>
      <c r="AM4" s="519" t="s">
        <v>727</v>
      </c>
      <c r="AN4" s="519"/>
      <c r="AO4" s="519"/>
      <c r="AP4" s="23"/>
      <c r="AQ4" s="533" t="s">
        <v>717</v>
      </c>
      <c r="AR4" s="530"/>
      <c r="AS4" s="531"/>
      <c r="AT4" s="526" t="s">
        <v>674</v>
      </c>
      <c r="AU4" s="527"/>
      <c r="AV4" s="527"/>
      <c r="AW4" s="530" t="s">
        <v>800</v>
      </c>
      <c r="AX4" s="530"/>
      <c r="AY4" s="531"/>
      <c r="AZ4" s="526" t="s">
        <v>608</v>
      </c>
      <c r="BA4" s="527"/>
      <c r="BB4" s="527"/>
      <c r="BC4" s="530" t="s">
        <v>795</v>
      </c>
      <c r="BD4" s="530"/>
      <c r="BE4" s="531"/>
      <c r="BF4" s="526" t="s">
        <v>796</v>
      </c>
      <c r="BG4" s="527"/>
      <c r="BH4" s="527"/>
      <c r="BI4" s="519" t="s">
        <v>730</v>
      </c>
      <c r="BJ4" s="519"/>
      <c r="BK4" s="519"/>
      <c r="BL4" s="23"/>
      <c r="BM4" s="500"/>
      <c r="BN4" s="23"/>
      <c r="BO4" s="500"/>
      <c r="BT4" s="510"/>
      <c r="BU4" s="511"/>
      <c r="BV4" s="511"/>
      <c r="BW4" s="512"/>
      <c r="BX4" s="500"/>
    </row>
    <row r="5" spans="1:76" ht="16" thickBot="1" x14ac:dyDescent="0.4">
      <c r="A5" s="23"/>
      <c r="B5" s="18"/>
      <c r="C5" s="502" t="s">
        <v>28</v>
      </c>
      <c r="D5" s="502"/>
      <c r="E5" s="683"/>
      <c r="F5" s="685"/>
      <c r="G5" s="687"/>
      <c r="H5" s="666"/>
      <c r="I5" s="669"/>
      <c r="J5" s="670"/>
      <c r="K5" s="660"/>
      <c r="L5" s="662"/>
      <c r="M5" s="664"/>
      <c r="N5" s="24"/>
      <c r="O5" s="513"/>
      <c r="P5" s="514"/>
      <c r="Q5" s="514"/>
      <c r="R5" s="514"/>
      <c r="S5" s="514"/>
      <c r="T5" s="515"/>
      <c r="U5" s="534"/>
      <c r="V5" s="519"/>
      <c r="W5" s="532"/>
      <c r="X5" s="528"/>
      <c r="Y5" s="529"/>
      <c r="Z5" s="529"/>
      <c r="AA5" s="519"/>
      <c r="AB5" s="519"/>
      <c r="AC5" s="532"/>
      <c r="AD5" s="528"/>
      <c r="AE5" s="529"/>
      <c r="AF5" s="529"/>
      <c r="AG5" s="519"/>
      <c r="AH5" s="519"/>
      <c r="AI5" s="532"/>
      <c r="AJ5" s="528"/>
      <c r="AK5" s="529"/>
      <c r="AL5" s="529"/>
      <c r="AM5" s="519"/>
      <c r="AN5" s="519"/>
      <c r="AO5" s="519"/>
      <c r="AP5" s="23"/>
      <c r="AQ5" s="534"/>
      <c r="AR5" s="519"/>
      <c r="AS5" s="532"/>
      <c r="AT5" s="528"/>
      <c r="AU5" s="529"/>
      <c r="AV5" s="529"/>
      <c r="AW5" s="519"/>
      <c r="AX5" s="519"/>
      <c r="AY5" s="532"/>
      <c r="AZ5" s="528"/>
      <c r="BA5" s="529"/>
      <c r="BB5" s="529"/>
      <c r="BC5" s="519"/>
      <c r="BD5" s="519"/>
      <c r="BE5" s="532"/>
      <c r="BF5" s="528"/>
      <c r="BG5" s="529"/>
      <c r="BH5" s="529"/>
      <c r="BI5" s="519"/>
      <c r="BJ5" s="519"/>
      <c r="BK5" s="519"/>
      <c r="BL5" s="23"/>
      <c r="BM5" s="501"/>
      <c r="BN5" s="23"/>
      <c r="BO5" s="501"/>
      <c r="BT5" s="513"/>
      <c r="BU5" s="514"/>
      <c r="BV5" s="514"/>
      <c r="BW5" s="515"/>
      <c r="BX5" s="501"/>
    </row>
    <row r="6" spans="1:76" ht="16" thickBot="1" x14ac:dyDescent="0.4">
      <c r="A6" s="23"/>
      <c r="B6" s="18"/>
      <c r="C6" s="25"/>
      <c r="D6" s="25"/>
      <c r="E6" s="25"/>
      <c r="F6" s="25"/>
      <c r="G6" s="246" t="s">
        <v>29</v>
      </c>
      <c r="H6" s="24"/>
      <c r="I6" s="24"/>
      <c r="J6" s="24"/>
      <c r="K6" s="25"/>
      <c r="L6" s="25"/>
      <c r="M6" s="25"/>
      <c r="N6" s="25"/>
      <c r="O6" s="25"/>
      <c r="P6" s="25"/>
      <c r="Q6" s="25"/>
      <c r="R6" s="25"/>
      <c r="S6" s="25"/>
      <c r="T6" s="25"/>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T6" s="23"/>
      <c r="BU6" s="23"/>
      <c r="BV6" s="23"/>
      <c r="BW6" s="23"/>
      <c r="BX6" s="23"/>
    </row>
    <row r="7" spans="1:76" ht="16" thickBot="1" x14ac:dyDescent="0.4">
      <c r="A7" s="23"/>
      <c r="B7" s="26"/>
      <c r="C7" s="27"/>
      <c r="D7" s="27"/>
      <c r="E7" s="27"/>
      <c r="F7" s="27"/>
      <c r="G7" s="522" t="s">
        <v>30</v>
      </c>
      <c r="H7" s="655"/>
      <c r="I7" s="655"/>
      <c r="J7" s="655"/>
      <c r="K7" s="655"/>
      <c r="L7" s="655"/>
      <c r="M7" s="656"/>
      <c r="N7" s="28" t="s">
        <v>31</v>
      </c>
      <c r="O7" s="29" t="s">
        <v>32</v>
      </c>
      <c r="P7" s="224" t="s">
        <v>33</v>
      </c>
      <c r="Q7" s="30" t="s">
        <v>559</v>
      </c>
      <c r="R7" s="30" t="s">
        <v>34</v>
      </c>
      <c r="S7" s="30" t="s">
        <v>35</v>
      </c>
      <c r="T7" s="30" t="s">
        <v>36</v>
      </c>
      <c r="U7" s="30" t="s">
        <v>32</v>
      </c>
      <c r="V7" s="30" t="s">
        <v>33</v>
      </c>
      <c r="W7" s="30" t="s">
        <v>37</v>
      </c>
      <c r="X7" s="30" t="s">
        <v>32</v>
      </c>
      <c r="Y7" s="30" t="s">
        <v>33</v>
      </c>
      <c r="Z7" s="30" t="s">
        <v>37</v>
      </c>
      <c r="AA7" s="30" t="s">
        <v>32</v>
      </c>
      <c r="AB7" s="30" t="s">
        <v>33</v>
      </c>
      <c r="AC7" s="30" t="s">
        <v>37</v>
      </c>
      <c r="AD7" s="30" t="s">
        <v>32</v>
      </c>
      <c r="AE7" s="30" t="s">
        <v>33</v>
      </c>
      <c r="AF7" s="30" t="s">
        <v>37</v>
      </c>
      <c r="AG7" s="30" t="s">
        <v>32</v>
      </c>
      <c r="AH7" s="30" t="s">
        <v>33</v>
      </c>
      <c r="AI7" s="30" t="s">
        <v>37</v>
      </c>
      <c r="AJ7" s="30" t="s">
        <v>32</v>
      </c>
      <c r="AK7" s="30" t="s">
        <v>33</v>
      </c>
      <c r="AL7" s="30" t="s">
        <v>37</v>
      </c>
      <c r="AM7" s="30" t="s">
        <v>32</v>
      </c>
      <c r="AN7" s="30" t="s">
        <v>33</v>
      </c>
      <c r="AO7" s="30" t="s">
        <v>37</v>
      </c>
      <c r="AP7" s="23"/>
      <c r="AQ7" s="30" t="s">
        <v>32</v>
      </c>
      <c r="AR7" s="30" t="s">
        <v>33</v>
      </c>
      <c r="AS7" s="30" t="s">
        <v>37</v>
      </c>
      <c r="AT7" s="30" t="s">
        <v>32</v>
      </c>
      <c r="AU7" s="30" t="s">
        <v>33</v>
      </c>
      <c r="AV7" s="30" t="s">
        <v>37</v>
      </c>
      <c r="AW7" s="30" t="s">
        <v>32</v>
      </c>
      <c r="AX7" s="30" t="s">
        <v>33</v>
      </c>
      <c r="AY7" s="30" t="s">
        <v>37</v>
      </c>
      <c r="AZ7" s="30" t="s">
        <v>32</v>
      </c>
      <c r="BA7" s="30" t="s">
        <v>33</v>
      </c>
      <c r="BB7" s="30" t="s">
        <v>37</v>
      </c>
      <c r="BC7" s="30" t="s">
        <v>32</v>
      </c>
      <c r="BD7" s="30" t="s">
        <v>33</v>
      </c>
      <c r="BE7" s="30" t="s">
        <v>37</v>
      </c>
      <c r="BF7" s="30" t="s">
        <v>32</v>
      </c>
      <c r="BG7" s="30" t="s">
        <v>33</v>
      </c>
      <c r="BH7" s="30" t="s">
        <v>37</v>
      </c>
      <c r="BI7" s="30" t="s">
        <v>32</v>
      </c>
      <c r="BJ7" s="30" t="s">
        <v>33</v>
      </c>
      <c r="BK7" s="30" t="s">
        <v>37</v>
      </c>
      <c r="BL7" s="23"/>
      <c r="BM7" s="23"/>
      <c r="BN7" s="23"/>
      <c r="BO7" s="23"/>
      <c r="BT7" s="23"/>
      <c r="BU7" s="23"/>
      <c r="BV7" s="23"/>
      <c r="BW7" s="23"/>
      <c r="BX7" s="23"/>
    </row>
    <row r="8" spans="1:76" ht="39.5" thickBot="1" x14ac:dyDescent="0.4">
      <c r="A8" s="23"/>
      <c r="B8" s="31"/>
      <c r="C8" s="32" t="s">
        <v>38</v>
      </c>
      <c r="D8" s="163">
        <v>1</v>
      </c>
      <c r="E8" s="33" t="s">
        <v>39</v>
      </c>
      <c r="F8" s="167" t="s">
        <v>20</v>
      </c>
      <c r="G8" s="173" t="s">
        <v>536</v>
      </c>
      <c r="H8" s="174" t="s">
        <v>40</v>
      </c>
      <c r="I8" s="271"/>
      <c r="J8" s="175" t="s">
        <v>537</v>
      </c>
      <c r="K8" s="230" t="s">
        <v>41</v>
      </c>
      <c r="L8" s="174" t="s">
        <v>495</v>
      </c>
      <c r="M8" s="176" t="s">
        <v>42</v>
      </c>
      <c r="N8" s="170">
        <f>IF(Project!$B$27="Off Highway",0,1)</f>
        <v>1</v>
      </c>
      <c r="O8" s="237">
        <f>IF(Scoring!O8="A",0,Scoring!O8)</f>
        <v>0</v>
      </c>
      <c r="P8" s="237">
        <f>IF(Scoring!P8="A",0,Scoring!P8)</f>
        <v>0</v>
      </c>
      <c r="Q8" s="129">
        <f>IF($N8=0,0,O8)</f>
        <v>0</v>
      </c>
      <c r="R8" s="34">
        <f>IF($N8=0,0,2)</f>
        <v>2</v>
      </c>
      <c r="S8" s="34">
        <f>IF($N8=0,0,Scoring!P8)</f>
        <v>0</v>
      </c>
      <c r="T8" s="34">
        <f>IF($N8=0,0,2)</f>
        <v>2</v>
      </c>
      <c r="U8" s="35">
        <f>IF(VLOOKUP($H8,'How the score is generated (H)'!$B$4:$H$72,2,0)="ü",$Q8,0)</f>
        <v>0</v>
      </c>
      <c r="V8" s="36">
        <f>IF(VLOOKUP($H8,'How the score is generated (H)'!$B$4:$H$72,2,0)="ü",$S8,0)</f>
        <v>0</v>
      </c>
      <c r="W8" s="145">
        <f>IF($N8=0,0,IF(VLOOKUP($H8,'How the score is generated (H)'!$B$4:$H$72,2,0)="ü",2,0))</f>
        <v>2</v>
      </c>
      <c r="X8" s="35">
        <f>IF(VLOOKUP($H8,'How the score is generated (H)'!$B$4:$H$72,3,0)="ü",$Q8,0)</f>
        <v>0</v>
      </c>
      <c r="Y8" s="36">
        <f>IF(VLOOKUP($H8,'How the score is generated (H)'!$B$4:$H$72,3,0)="ü",$S8,0)</f>
        <v>0</v>
      </c>
      <c r="Z8" s="145">
        <f>IF($N8=0,0,IF(VLOOKUP($H8,'How the score is generated (H)'!$B$4:$H$72,3,0)="ü",2,0))</f>
        <v>2</v>
      </c>
      <c r="AA8" s="35">
        <f>IF(VLOOKUP($H8,'How the score is generated (H)'!$B$4:$H$72,4,0)="ü",$Q8,0)</f>
        <v>0</v>
      </c>
      <c r="AB8" s="36">
        <f>IF(VLOOKUP($H8,'How the score is generated (H)'!$B$4:$H$72,4,0)="ü",$S8,0)</f>
        <v>0</v>
      </c>
      <c r="AC8" s="145">
        <f>IF($N8=0,0,IF(VLOOKUP($H8,'How the score is generated (H)'!$B$4:$H$72,4,0)="ü",2,0))</f>
        <v>2</v>
      </c>
      <c r="AD8" s="35">
        <f>IF(VLOOKUP($H8,'How the score is generated (H)'!$B$4:$H$72,5,0)="ü",$Q8,0)</f>
        <v>0</v>
      </c>
      <c r="AE8" s="36">
        <f>IF(VLOOKUP($H8,'How the score is generated (H)'!$B$4:$H$72,5,0)="ü",$S8,0)</f>
        <v>0</v>
      </c>
      <c r="AF8" s="145">
        <f>IF($N8=0,0,IF(VLOOKUP($H8,'How the score is generated (H)'!$B$4:$H$72,5,0)="ü",2,0))</f>
        <v>0</v>
      </c>
      <c r="AG8" s="35">
        <f>IF(VLOOKUP($H8,'How the score is generated (H)'!$B$4:$H$72,6,0)="ü",$Q8,0)</f>
        <v>0</v>
      </c>
      <c r="AH8" s="36">
        <f>IF(VLOOKUP($H8,'How the score is generated (H)'!$B$4:$H$72,6,0)="ü",$S8,0)</f>
        <v>0</v>
      </c>
      <c r="AI8" s="145">
        <f>IF($N8=0,0,IF(VLOOKUP($H8,'How the score is generated (H)'!$B$4:$H$72,6,0)="ü",2,0))</f>
        <v>2</v>
      </c>
      <c r="AJ8" s="35">
        <f>IF(VLOOKUP($H8,'How the score is generated (H)'!$B$4:$H$72,7,0)="ü",$Q8,0)</f>
        <v>0</v>
      </c>
      <c r="AK8" s="36">
        <f>IF(VLOOKUP($H8,'How the score is generated (H)'!$B$4:$H$72,7,0)="ü",$S8,0)</f>
        <v>0</v>
      </c>
      <c r="AL8" s="145">
        <f>IF($N8=0,0,IF(VLOOKUP($H8,'How the score is generated (H)'!$B$4:$H$72,7,0)="ü",2,0))</f>
        <v>0</v>
      </c>
      <c r="AM8" s="35" t="e">
        <f>IF(VLOOKUP($H8,'How the score is generated (H)'!$B$4:$H$72,8,0)="ü",$Q8,0)</f>
        <v>#REF!</v>
      </c>
      <c r="AN8" s="36" t="e">
        <f>IF(VLOOKUP($H8,'How the score is generated (H)'!$B$4:$H$72,8,0)="ü",$S8,0)</f>
        <v>#REF!</v>
      </c>
      <c r="AO8" s="145" t="e">
        <f>IF($N8=0,0,IF(VLOOKUP($H8,'How the score is generated (H)'!$B$4:$H$72,8,0)="ü",2,0))</f>
        <v>#REF!</v>
      </c>
      <c r="AP8" s="23"/>
      <c r="AQ8" s="35">
        <f>IF(VLOOKUP($H8,'How the score is generated (P)'!$B$4:$I$72,2,0)="ü",$Q8,0)</f>
        <v>0</v>
      </c>
      <c r="AR8" s="36">
        <f>IF(VLOOKUP($H8,'How the score is generated (P)'!$B$4:$I$72,2,0)="ü",$S8,0)</f>
        <v>0</v>
      </c>
      <c r="AS8" s="145">
        <f>IF($N8=0,0,IF(VLOOKUP($H8,'How the score is generated (P)'!$B$4:$I$72,2,0)="ü",2,0))</f>
        <v>2</v>
      </c>
      <c r="AT8" s="35">
        <f>IF(VLOOKUP($H8,'How the score is generated (P)'!$B$4:$I$72,3,0)="ü",$Q8,0)</f>
        <v>0</v>
      </c>
      <c r="AU8" s="36">
        <f>IF(VLOOKUP($H8,'How the score is generated (P)'!$B$4:$I$72,3,0)="ü",$S8,0)</f>
        <v>0</v>
      </c>
      <c r="AV8" s="145">
        <f>IF($N8=0,0,IF(VLOOKUP($H8,'How the score is generated (P)'!$B$4:$I$72,3,0)="ü",2,0))</f>
        <v>0</v>
      </c>
      <c r="AW8" s="35">
        <f>IF(VLOOKUP($H8,'How the score is generated (P)'!$B$4:$I$72,4,0)="ü",$Q8,0)</f>
        <v>0</v>
      </c>
      <c r="AX8" s="36">
        <f>IF(VLOOKUP($H8,'How the score is generated (P)'!$B$4:$I$72,4,0)="ü",$S8,0)</f>
        <v>0</v>
      </c>
      <c r="AY8" s="145">
        <f>IF($N8=0,0,IF(VLOOKUP($H8,'How the score is generated (P)'!$B$4:$I$72,4,0)="ü",2,0))</f>
        <v>0</v>
      </c>
      <c r="AZ8" s="35">
        <f>IF(VLOOKUP($H8,'How the score is generated (P)'!$B$4:$I$72,5,0)="ü",$Q8,0)</f>
        <v>0</v>
      </c>
      <c r="BA8" s="36">
        <f>IF(VLOOKUP($H8,'How the score is generated (P)'!$B$4:$I$72,5,0)="ü",$S8,0)</f>
        <v>0</v>
      </c>
      <c r="BB8" s="145">
        <f>IF($N8=0,0,IF(VLOOKUP($H8,'How the score is generated (P)'!$B$4:$I$72,5,0)="ü",2,0))</f>
        <v>0</v>
      </c>
      <c r="BC8" s="35">
        <f>IF(VLOOKUP($H8,'How the score is generated (P)'!$B$4:$I$72,6,0)="ü",$Q8,0)</f>
        <v>0</v>
      </c>
      <c r="BD8" s="36">
        <f>IF(VLOOKUP($H8,'How the score is generated (P)'!$B$4:$I$72,6,0)="ü",$S8,0)</f>
        <v>0</v>
      </c>
      <c r="BE8" s="145">
        <f>IF($N8=0,0,IF(VLOOKUP($H8,'How the score is generated (P)'!$B$4:$I$72,6,0)="ü",2,0))</f>
        <v>0</v>
      </c>
      <c r="BF8" s="35">
        <f>IF(VLOOKUP($H8,'How the score is generated (P)'!$B$4:$I$72,7,0)="ü",$Q8,0)</f>
        <v>0</v>
      </c>
      <c r="BG8" s="36">
        <f>IF(VLOOKUP($H8,'How the score is generated (P)'!$B$4:$I$72,7,0)="ü",$S8,0)</f>
        <v>0</v>
      </c>
      <c r="BH8" s="145">
        <f>IF($N8=0,0,IF(VLOOKUP($H8,'How the score is generated (P)'!$B$4:$I$72,7,0)="ü",2,0))</f>
        <v>0</v>
      </c>
      <c r="BI8" s="35">
        <f>IF(VLOOKUP($H8,'How the score is generated (P)'!$B$4:$I$72,8,0)="ü",$Q8,0)</f>
        <v>0</v>
      </c>
      <c r="BJ8" s="36">
        <f>IF(VLOOKUP($H8,'How the score is generated (P)'!$B$4:$I$72,8,0)="ü",$S8,0)</f>
        <v>0</v>
      </c>
      <c r="BK8" s="145">
        <f>IF($N8=0,0,IF(VLOOKUP($H8,'How the score is generated (P)'!$B$4:$I$72,8,0)="ü",2,0))</f>
        <v>0</v>
      </c>
      <c r="BL8" s="23"/>
      <c r="BM8" s="201"/>
      <c r="BN8" s="23"/>
      <c r="BO8" s="146"/>
      <c r="BT8" s="34"/>
      <c r="BU8" s="34" t="str">
        <f>IF(BT8="Amber",IF(S8=0,"Residual Amber",""),"")</f>
        <v/>
      </c>
      <c r="BV8" s="34">
        <f>IF(N8=0,"",IF(O8="","",O8))</f>
        <v>0</v>
      </c>
      <c r="BW8" s="34">
        <f>IF(N8=0,"",IF(P8="","",P8))</f>
        <v>0</v>
      </c>
      <c r="BX8" s="34" t="str">
        <f>D8&amp;". "&amp;H8</f>
        <v>1. Left/right hook collisions at junctions or side roads</v>
      </c>
    </row>
    <row r="9" spans="1:76" ht="78.5" thickBot="1" x14ac:dyDescent="0.4">
      <c r="A9" s="23"/>
      <c r="B9" s="31"/>
      <c r="C9" s="37" t="s">
        <v>38</v>
      </c>
      <c r="D9" s="164">
        <v>2</v>
      </c>
      <c r="E9" s="38" t="s">
        <v>43</v>
      </c>
      <c r="F9" s="168" t="s">
        <v>20</v>
      </c>
      <c r="G9" s="39" t="s">
        <v>44</v>
      </c>
      <c r="H9" s="41" t="s">
        <v>44</v>
      </c>
      <c r="I9" s="272" t="s">
        <v>539</v>
      </c>
      <c r="J9" s="40" t="s">
        <v>538</v>
      </c>
      <c r="K9" s="41" t="s">
        <v>45</v>
      </c>
      <c r="L9" s="41" t="s">
        <v>46</v>
      </c>
      <c r="M9" s="42" t="s">
        <v>47</v>
      </c>
      <c r="N9" s="170">
        <f>IF(Project!$B$27="Off Highway",0,1)</f>
        <v>1</v>
      </c>
      <c r="O9" s="237">
        <f>IF(Scoring!O9="A",0,Scoring!O9)</f>
        <v>0</v>
      </c>
      <c r="P9" s="237">
        <v>1</v>
      </c>
      <c r="Q9" s="129">
        <f>IF($N9=0,0,O9)</f>
        <v>0</v>
      </c>
      <c r="R9" s="34">
        <f>IF($N9=0,0,2)</f>
        <v>2</v>
      </c>
      <c r="S9" s="34">
        <f>IF($N9=0,0,Scoring!P9)</f>
        <v>0</v>
      </c>
      <c r="T9" s="34">
        <f>IF($N9=0,0,2)</f>
        <v>2</v>
      </c>
      <c r="U9" s="35" t="e">
        <f>IF(VLOOKUP($H9,'How the score is generated (H)'!$B$4:$H$72,2,0)="ü",$Q9,0)</f>
        <v>#N/A</v>
      </c>
      <c r="V9" s="36" t="e">
        <f>IF(VLOOKUP($H9,'How the score is generated (H)'!$B$4:$H$72,2,0)="ü",$S9,0)</f>
        <v>#N/A</v>
      </c>
      <c r="W9" s="145" t="e">
        <f>IF($N9=0,0,IF(VLOOKUP($H9,'How the score is generated (H)'!$B$4:$H$72,2,0)="ü",2,0))</f>
        <v>#N/A</v>
      </c>
      <c r="X9" s="35" t="e">
        <f>IF(VLOOKUP($H9,'How the score is generated (H)'!$B$4:$H$72,3,0)="ü",$Q9,0)</f>
        <v>#N/A</v>
      </c>
      <c r="Y9" s="36" t="e">
        <f>IF(VLOOKUP($H9,'How the score is generated (H)'!$B$4:$H$72,3,0)="ü",$S9,0)</f>
        <v>#N/A</v>
      </c>
      <c r="Z9" s="145" t="e">
        <f>IF($N9=0,0,IF(VLOOKUP($H9,'How the score is generated (H)'!$B$4:$H$72,3,0)="ü",2,0))</f>
        <v>#N/A</v>
      </c>
      <c r="AA9" s="35" t="e">
        <f>IF(VLOOKUP($H9,'How the score is generated (H)'!$B$4:$H$72,4,0)="ü",$Q9,0)</f>
        <v>#N/A</v>
      </c>
      <c r="AB9" s="36" t="e">
        <f>IF(VLOOKUP($H9,'How the score is generated (H)'!$B$4:$H$72,4,0)="ü",$S9,0)</f>
        <v>#N/A</v>
      </c>
      <c r="AC9" s="145" t="e">
        <f>IF($N9=0,0,IF(VLOOKUP($H9,'How the score is generated (H)'!$B$4:$H$72,4,0)="ü",2,0))</f>
        <v>#N/A</v>
      </c>
      <c r="AD9" s="35" t="e">
        <f>IF(VLOOKUP($H9,'How the score is generated (H)'!$B$4:$H$72,5,0)="ü",$Q9,0)</f>
        <v>#N/A</v>
      </c>
      <c r="AE9" s="36" t="e">
        <f>IF(VLOOKUP($H9,'How the score is generated (H)'!$B$4:$H$72,5,0)="ü",$S9,0)</f>
        <v>#N/A</v>
      </c>
      <c r="AF9" s="145" t="e">
        <f>IF($N9=0,0,IF(VLOOKUP($H9,'How the score is generated (H)'!$B$4:$H$72,5,0)="ü",2,0))</f>
        <v>#N/A</v>
      </c>
      <c r="AG9" s="35" t="e">
        <f>IF(VLOOKUP($H9,'How the score is generated (H)'!$B$4:$H$72,6,0)="ü",$Q9,0)</f>
        <v>#N/A</v>
      </c>
      <c r="AH9" s="36" t="e">
        <f>IF(VLOOKUP($H9,'How the score is generated (H)'!$B$4:$H$72,6,0)="ü",$S9,0)</f>
        <v>#N/A</v>
      </c>
      <c r="AI9" s="145" t="e">
        <f>IF($N9=0,0,IF(VLOOKUP($H9,'How the score is generated (H)'!$B$4:$H$72,6,0)="ü",2,0))</f>
        <v>#N/A</v>
      </c>
      <c r="AJ9" s="35" t="e">
        <f>IF(VLOOKUP($H9,'How the score is generated (H)'!$B$4:$H$72,7,0)="ü",$Q9,0)</f>
        <v>#N/A</v>
      </c>
      <c r="AK9" s="36" t="e">
        <f>IF(VLOOKUP($H9,'How the score is generated (H)'!$B$4:$H$72,7,0)="ü",$S9,0)</f>
        <v>#N/A</v>
      </c>
      <c r="AL9" s="145" t="e">
        <f>IF($N9=0,0,IF(VLOOKUP($H9,'How the score is generated (H)'!$B$4:$H$72,7,0)="ü",2,0))</f>
        <v>#N/A</v>
      </c>
      <c r="AM9" s="35" t="e">
        <f>IF(VLOOKUP($H9,'How the score is generated (H)'!$B$4:$H$72,8,0)="ü",$Q9,0)</f>
        <v>#N/A</v>
      </c>
      <c r="AN9" s="36" t="e">
        <f>IF(VLOOKUP($H9,'How the score is generated (H)'!$B$4:$H$72,8,0)="ü",$S9,0)</f>
        <v>#N/A</v>
      </c>
      <c r="AO9" s="145" t="e">
        <f>IF($N9=0,0,IF(VLOOKUP($H9,'How the score is generated (H)'!$B$4:$H$72,8,0)="ü",2,0))</f>
        <v>#N/A</v>
      </c>
      <c r="AP9" s="23"/>
      <c r="AQ9" s="35" t="e">
        <f>IF(VLOOKUP($H9,'How the score is generated (P)'!$B$4:$I$72,2,0)="ü",$Q9,0)</f>
        <v>#N/A</v>
      </c>
      <c r="AR9" s="36" t="e">
        <f>IF(VLOOKUP($H9,'How the score is generated (P)'!$B$4:$I$72,2,0)="ü",$S9,0)</f>
        <v>#N/A</v>
      </c>
      <c r="AS9" s="145" t="e">
        <f>IF($N9=0,0,IF(VLOOKUP($H9,'How the score is generated (P)'!$B$4:$I$72,2,0)="ü",2,0))</f>
        <v>#N/A</v>
      </c>
      <c r="AT9" s="35" t="e">
        <f>IF(VLOOKUP($H9,'How the score is generated (P)'!$B$4:$I$72,3,0)="ü",$Q9,0)</f>
        <v>#N/A</v>
      </c>
      <c r="AU9" s="36" t="e">
        <f>IF(VLOOKUP($H9,'How the score is generated (P)'!$B$4:$I$72,3,0)="ü",$S9,0)</f>
        <v>#N/A</v>
      </c>
      <c r="AV9" s="145" t="e">
        <f>IF($N9=0,0,IF(VLOOKUP($H9,'How the score is generated (P)'!$B$4:$I$72,3,0)="ü",2,0))</f>
        <v>#N/A</v>
      </c>
      <c r="AW9" s="35" t="e">
        <f>IF(VLOOKUP($H9,'How the score is generated (P)'!$B$4:$I$72,4,0)="ü",$Q9,0)</f>
        <v>#N/A</v>
      </c>
      <c r="AX9" s="36" t="e">
        <f>IF(VLOOKUP($H9,'How the score is generated (P)'!$B$4:$I$72,4,0)="ü",$S9,0)</f>
        <v>#N/A</v>
      </c>
      <c r="AY9" s="145" t="e">
        <f>IF($N9=0,0,IF(VLOOKUP($H9,'How the score is generated (P)'!$B$4:$I$72,4,0)="ü",2,0))</f>
        <v>#N/A</v>
      </c>
      <c r="AZ9" s="35" t="e">
        <f>IF(VLOOKUP($H9,'How the score is generated (P)'!$B$4:$I$72,5,0)="ü",$Q9,0)</f>
        <v>#N/A</v>
      </c>
      <c r="BA9" s="36" t="e">
        <f>IF(VLOOKUP($H9,'How the score is generated (P)'!$B$4:$I$72,5,0)="ü",$S9,0)</f>
        <v>#N/A</v>
      </c>
      <c r="BB9" s="145" t="e">
        <f>IF($N9=0,0,IF(VLOOKUP($H9,'How the score is generated (P)'!$B$4:$I$72,5,0)="ü",2,0))</f>
        <v>#N/A</v>
      </c>
      <c r="BC9" s="35" t="e">
        <f>IF(VLOOKUP($H9,'How the score is generated (P)'!$B$4:$I$72,6,0)="ü",$Q9,0)</f>
        <v>#N/A</v>
      </c>
      <c r="BD9" s="36" t="e">
        <f>IF(VLOOKUP($H9,'How the score is generated (P)'!$B$4:$I$72,6,0)="ü",$S9,0)</f>
        <v>#N/A</v>
      </c>
      <c r="BE9" s="145" t="e">
        <f>IF($N9=0,0,IF(VLOOKUP($H9,'How the score is generated (P)'!$B$4:$I$72,6,0)="ü",2,0))</f>
        <v>#N/A</v>
      </c>
      <c r="BF9" s="35" t="e">
        <f>IF(VLOOKUP($H9,'How the score is generated (P)'!$B$4:$I$72,7,0)="ü",$Q9,0)</f>
        <v>#N/A</v>
      </c>
      <c r="BG9" s="36" t="e">
        <f>IF(VLOOKUP($H9,'How the score is generated (P)'!$B$4:$I$72,7,0)="ü",$S9,0)</f>
        <v>#N/A</v>
      </c>
      <c r="BH9" s="145" t="e">
        <f>IF($N9=0,0,IF(VLOOKUP($H9,'How the score is generated (P)'!$B$4:$I$72,7,0)="ü",2,0))</f>
        <v>#N/A</v>
      </c>
      <c r="BI9" s="35" t="e">
        <f>IF(VLOOKUP($H9,'How the score is generated (P)'!$B$4:$I$72,8,0)="ü",$Q9,0)</f>
        <v>#N/A</v>
      </c>
      <c r="BJ9" s="36" t="e">
        <f>IF(VLOOKUP($H9,'How the score is generated (P)'!$B$4:$I$72,8,0)="ü",$S9,0)</f>
        <v>#N/A</v>
      </c>
      <c r="BK9" s="145" t="e">
        <f>IF($N9=0,0,IF(VLOOKUP($H9,'How the score is generated (P)'!$B$4:$I$72,8,0)="ü",2,0))</f>
        <v>#N/A</v>
      </c>
      <c r="BL9" s="23"/>
      <c r="BM9" s="201"/>
      <c r="BN9" s="23"/>
      <c r="BO9" s="146"/>
      <c r="BT9" s="34"/>
      <c r="BU9" s="34" t="str">
        <f>IF(BT9="Amber",IF(S9=0,"Residual Amber",""),"")</f>
        <v/>
      </c>
      <c r="BV9" s="34">
        <f>IF(N9=0,"",IF(O9="","",O9))</f>
        <v>0</v>
      </c>
      <c r="BW9" s="34">
        <f>IF(N9=0,"",IF(P9="","",P9))</f>
        <v>1</v>
      </c>
      <c r="BX9" s="34" t="str">
        <f>D9&amp;". "&amp;H9</f>
        <v>2. Cycle safety at signalised junctions</v>
      </c>
    </row>
    <row r="10" spans="1:76" ht="78.5" thickBot="1" x14ac:dyDescent="0.4">
      <c r="A10" s="23"/>
      <c r="B10" s="31"/>
      <c r="C10" s="43" t="s">
        <v>38</v>
      </c>
      <c r="D10" s="164">
        <v>3</v>
      </c>
      <c r="E10" s="44" t="s">
        <v>39</v>
      </c>
      <c r="F10" s="168" t="s">
        <v>20</v>
      </c>
      <c r="G10" s="39" t="s">
        <v>542</v>
      </c>
      <c r="H10" s="41" t="s">
        <v>541</v>
      </c>
      <c r="I10" s="272">
        <v>3.7</v>
      </c>
      <c r="J10" s="40" t="s">
        <v>540</v>
      </c>
      <c r="K10" s="41" t="s">
        <v>533</v>
      </c>
      <c r="L10" s="41" t="s">
        <v>535</v>
      </c>
      <c r="M10" s="42" t="s">
        <v>560</v>
      </c>
      <c r="N10" s="170">
        <f>IF(Project!$B$27="Off Highway",0,1)</f>
        <v>1</v>
      </c>
      <c r="O10" s="237">
        <f>IF(Scoring!O10="A",0,Scoring!O10)</f>
        <v>0</v>
      </c>
      <c r="P10" s="237">
        <f>IF(Scoring!P10="A",0,Scoring!P10)</f>
        <v>0</v>
      </c>
      <c r="Q10" s="129">
        <f>IF($N10=0,0,O10)</f>
        <v>0</v>
      </c>
      <c r="R10" s="34">
        <f>IF($N10=0,0,2)</f>
        <v>2</v>
      </c>
      <c r="S10" s="34">
        <f>IF($N10=0,0,Scoring!P10)</f>
        <v>0</v>
      </c>
      <c r="T10" s="34">
        <f>IF($N10=0,0,2)</f>
        <v>2</v>
      </c>
      <c r="U10" s="35" t="e">
        <f>IF(VLOOKUP($H10,'How the score is generated (H)'!$B$4:$H$72,2,0)="ü",$Q10,0)</f>
        <v>#N/A</v>
      </c>
      <c r="V10" s="36" t="e">
        <f>IF(VLOOKUP($H10,'How the score is generated (H)'!$B$4:$H$72,2,0)="ü",$S10,0)</f>
        <v>#N/A</v>
      </c>
      <c r="W10" s="145" t="e">
        <f>IF($N10=0,0,IF(VLOOKUP($H10,'How the score is generated (H)'!$B$4:$H$72,2,0)="ü",2,0))</f>
        <v>#N/A</v>
      </c>
      <c r="X10" s="35" t="e">
        <f>IF(VLOOKUP($H10,'How the score is generated (H)'!$B$4:$H$72,3,0)="ü",$Q10,0)</f>
        <v>#N/A</v>
      </c>
      <c r="Y10" s="36" t="e">
        <f>IF(VLOOKUP($H10,'How the score is generated (H)'!$B$4:$H$72,3,0)="ü",$S10,0)</f>
        <v>#N/A</v>
      </c>
      <c r="Z10" s="145" t="e">
        <f>IF($N10=0,0,IF(VLOOKUP($H10,'How the score is generated (H)'!$B$4:$H$72,3,0)="ü",2,0))</f>
        <v>#N/A</v>
      </c>
      <c r="AA10" s="35" t="e">
        <f>IF(VLOOKUP($H10,'How the score is generated (H)'!$B$4:$H$72,4,0)="ü",$Q10,0)</f>
        <v>#N/A</v>
      </c>
      <c r="AB10" s="36" t="e">
        <f>IF(VLOOKUP($H10,'How the score is generated (H)'!$B$4:$H$72,4,0)="ü",$S10,0)</f>
        <v>#N/A</v>
      </c>
      <c r="AC10" s="145" t="e">
        <f>IF($N10=0,0,IF(VLOOKUP($H10,'How the score is generated (H)'!$B$4:$H$72,4,0)="ü",2,0))</f>
        <v>#N/A</v>
      </c>
      <c r="AD10" s="35" t="e">
        <f>IF(VLOOKUP($H10,'How the score is generated (H)'!$B$4:$H$72,5,0)="ü",$Q10,0)</f>
        <v>#N/A</v>
      </c>
      <c r="AE10" s="36" t="e">
        <f>IF(VLOOKUP($H10,'How the score is generated (H)'!$B$4:$H$72,5,0)="ü",$S10,0)</f>
        <v>#N/A</v>
      </c>
      <c r="AF10" s="145" t="e">
        <f>IF($N10=0,0,IF(VLOOKUP($H10,'How the score is generated (H)'!$B$4:$H$72,5,0)="ü",2,0))</f>
        <v>#N/A</v>
      </c>
      <c r="AG10" s="35" t="e">
        <f>IF(VLOOKUP($H10,'How the score is generated (H)'!$B$4:$H$72,6,0)="ü",$Q10,0)</f>
        <v>#N/A</v>
      </c>
      <c r="AH10" s="36" t="e">
        <f>IF(VLOOKUP($H10,'How the score is generated (H)'!$B$4:$H$72,6,0)="ü",$S10,0)</f>
        <v>#N/A</v>
      </c>
      <c r="AI10" s="145" t="e">
        <f>IF($N10=0,0,IF(VLOOKUP($H10,'How the score is generated (H)'!$B$4:$H$72,6,0)="ü",2,0))</f>
        <v>#N/A</v>
      </c>
      <c r="AJ10" s="35" t="e">
        <f>IF(VLOOKUP($H10,'How the score is generated (H)'!$B$4:$H$72,7,0)="ü",$Q10,0)</f>
        <v>#N/A</v>
      </c>
      <c r="AK10" s="36" t="e">
        <f>IF(VLOOKUP($H10,'How the score is generated (H)'!$B$4:$H$72,7,0)="ü",$S10,0)</f>
        <v>#N/A</v>
      </c>
      <c r="AL10" s="145" t="e">
        <f>IF($N10=0,0,IF(VLOOKUP($H10,'How the score is generated (H)'!$B$4:$H$72,7,0)="ü",2,0))</f>
        <v>#N/A</v>
      </c>
      <c r="AM10" s="35" t="e">
        <f>IF(VLOOKUP($H10,'How the score is generated (H)'!$B$4:$H$72,8,0)="ü",$Q10,0)</f>
        <v>#N/A</v>
      </c>
      <c r="AN10" s="36" t="e">
        <f>IF(VLOOKUP($H10,'How the score is generated (H)'!$B$4:$H$72,8,0)="ü",$S10,0)</f>
        <v>#N/A</v>
      </c>
      <c r="AO10" s="145" t="e">
        <f>IF($N10=0,0,IF(VLOOKUP($H10,'How the score is generated (H)'!$B$4:$H$72,8,0)="ü",2,0))</f>
        <v>#N/A</v>
      </c>
      <c r="AP10" s="23"/>
      <c r="AQ10" s="35" t="e">
        <f>IF(VLOOKUP($H10,'How the score is generated (P)'!$B$4:$I$72,2,0)="ü",$Q10,0)</f>
        <v>#N/A</v>
      </c>
      <c r="AR10" s="36" t="e">
        <f>IF(VLOOKUP($H10,'How the score is generated (P)'!$B$4:$I$72,2,0)="ü",$S10,0)</f>
        <v>#N/A</v>
      </c>
      <c r="AS10" s="145" t="e">
        <f>IF($N10=0,0,IF(VLOOKUP($H10,'How the score is generated (P)'!$B$4:$I$72,2,0)="ü",2,0))</f>
        <v>#N/A</v>
      </c>
      <c r="AT10" s="35" t="e">
        <f>IF(VLOOKUP($H10,'How the score is generated (P)'!$B$4:$I$72,3,0)="ü",$Q10,0)</f>
        <v>#N/A</v>
      </c>
      <c r="AU10" s="36" t="e">
        <f>IF(VLOOKUP($H10,'How the score is generated (P)'!$B$4:$I$72,3,0)="ü",$S10,0)</f>
        <v>#N/A</v>
      </c>
      <c r="AV10" s="145" t="e">
        <f>IF($N10=0,0,IF(VLOOKUP($H10,'How the score is generated (P)'!$B$4:$I$72,3,0)="ü",2,0))</f>
        <v>#N/A</v>
      </c>
      <c r="AW10" s="35" t="e">
        <f>IF(VLOOKUP($H10,'How the score is generated (P)'!$B$4:$I$72,4,0)="ü",$Q10,0)</f>
        <v>#N/A</v>
      </c>
      <c r="AX10" s="36" t="e">
        <f>IF(VLOOKUP($H10,'How the score is generated (P)'!$B$4:$I$72,4,0)="ü",$S10,0)</f>
        <v>#N/A</v>
      </c>
      <c r="AY10" s="145" t="e">
        <f>IF($N10=0,0,IF(VLOOKUP($H10,'How the score is generated (P)'!$B$4:$I$72,4,0)="ü",2,0))</f>
        <v>#N/A</v>
      </c>
      <c r="AZ10" s="35" t="e">
        <f>IF(VLOOKUP($H10,'How the score is generated (P)'!$B$4:$I$72,5,0)="ü",$Q10,0)</f>
        <v>#N/A</v>
      </c>
      <c r="BA10" s="36" t="e">
        <f>IF(VLOOKUP($H10,'How the score is generated (P)'!$B$4:$I$72,5,0)="ü",$S10,0)</f>
        <v>#N/A</v>
      </c>
      <c r="BB10" s="145" t="e">
        <f>IF($N10=0,0,IF(VLOOKUP($H10,'How the score is generated (P)'!$B$4:$I$72,5,0)="ü",2,0))</f>
        <v>#N/A</v>
      </c>
      <c r="BC10" s="35" t="e">
        <f>IF(VLOOKUP($H10,'How the score is generated (P)'!$B$4:$I$72,6,0)="ü",$Q10,0)</f>
        <v>#N/A</v>
      </c>
      <c r="BD10" s="36" t="e">
        <f>IF(VLOOKUP($H10,'How the score is generated (P)'!$B$4:$I$72,6,0)="ü",$S10,0)</f>
        <v>#N/A</v>
      </c>
      <c r="BE10" s="145" t="e">
        <f>IF($N10=0,0,IF(VLOOKUP($H10,'How the score is generated (P)'!$B$4:$I$72,6,0)="ü",2,0))</f>
        <v>#N/A</v>
      </c>
      <c r="BF10" s="35" t="e">
        <f>IF(VLOOKUP($H10,'How the score is generated (P)'!$B$4:$I$72,7,0)="ü",$Q10,0)</f>
        <v>#N/A</v>
      </c>
      <c r="BG10" s="36" t="e">
        <f>IF(VLOOKUP($H10,'How the score is generated (P)'!$B$4:$I$72,7,0)="ü",$S10,0)</f>
        <v>#N/A</v>
      </c>
      <c r="BH10" s="145" t="e">
        <f>IF($N10=0,0,IF(VLOOKUP($H10,'How the score is generated (P)'!$B$4:$I$72,7,0)="ü",2,0))</f>
        <v>#N/A</v>
      </c>
      <c r="BI10" s="35" t="e">
        <f>IF(VLOOKUP($H10,'How the score is generated (P)'!$B$4:$I$72,8,0)="ü",$Q10,0)</f>
        <v>#N/A</v>
      </c>
      <c r="BJ10" s="36" t="e">
        <f>IF(VLOOKUP($H10,'How the score is generated (P)'!$B$4:$I$72,8,0)="ü",$S10,0)</f>
        <v>#N/A</v>
      </c>
      <c r="BK10" s="145" t="e">
        <f>IF($N10=0,0,IF(VLOOKUP($H10,'How the score is generated (P)'!$B$4:$I$72,8,0)="ü",2,0))</f>
        <v>#N/A</v>
      </c>
      <c r="BL10" s="23"/>
      <c r="BM10" s="201"/>
      <c r="BN10" s="23"/>
      <c r="BO10" s="146"/>
      <c r="BP10" s="23">
        <v>0</v>
      </c>
      <c r="BT10" s="34"/>
      <c r="BU10" s="34" t="str">
        <f>IF(BT10="Amber",IF(S10=0,"Residual Amber",""),"")</f>
        <v/>
      </c>
      <c r="BV10" s="34">
        <f>IF(N10=0,"",IF(O10="","",O10))</f>
        <v>0</v>
      </c>
      <c r="BW10" s="34">
        <f>IF(N10=0,"",IF(P10="","",P10))</f>
        <v>0</v>
      </c>
      <c r="BX10" s="34" t="str">
        <f>D10&amp;". "&amp;H10</f>
        <v>3. Standard of provision at side roads and tactile paving</v>
      </c>
    </row>
    <row r="11" spans="1:76" ht="26.5" thickBot="1" x14ac:dyDescent="0.4">
      <c r="A11" s="23"/>
      <c r="B11" s="31"/>
      <c r="C11" s="43" t="s">
        <v>38</v>
      </c>
      <c r="D11" s="164">
        <v>4</v>
      </c>
      <c r="E11" s="38" t="s">
        <v>43</v>
      </c>
      <c r="F11" s="168" t="s">
        <v>20</v>
      </c>
      <c r="G11" s="39" t="s">
        <v>48</v>
      </c>
      <c r="H11" s="41" t="s">
        <v>496</v>
      </c>
      <c r="I11" s="272"/>
      <c r="J11" s="45"/>
      <c r="K11" s="41" t="s">
        <v>497</v>
      </c>
      <c r="L11" s="41" t="s">
        <v>498</v>
      </c>
      <c r="M11" s="42" t="s">
        <v>499</v>
      </c>
      <c r="N11" s="170">
        <f>IF(Project!$B$27="Off Highway",0,1)</f>
        <v>1</v>
      </c>
      <c r="O11" s="237">
        <f>IF(Scoring!O11="A",0,Scoring!O11)</f>
        <v>0</v>
      </c>
      <c r="P11" s="144">
        <f>IF(Scoring!P11="A",0,Scoring!P11)</f>
        <v>0</v>
      </c>
      <c r="Q11" s="129">
        <f>IF($N11=0,0,O11)</f>
        <v>0</v>
      </c>
      <c r="R11" s="34">
        <f>IF($N11=0,0,2)</f>
        <v>2</v>
      </c>
      <c r="S11" s="34">
        <f>IF($N11=0,0,Scoring!P11)</f>
        <v>0</v>
      </c>
      <c r="T11" s="34">
        <f>IF($N11=0,0,2)</f>
        <v>2</v>
      </c>
      <c r="U11" s="35" t="e">
        <f>IF(VLOOKUP($H11,'How the score is generated (H)'!$B$4:$H$72,2,0)="ü",$Q11,0)</f>
        <v>#N/A</v>
      </c>
      <c r="V11" s="36" t="e">
        <f>IF(VLOOKUP($H11,'How the score is generated (H)'!$B$4:$H$72,2,0)="ü",$S11,0)</f>
        <v>#N/A</v>
      </c>
      <c r="W11" s="145" t="e">
        <f>IF($N11=0,0,IF(VLOOKUP($H11,'How the score is generated (H)'!$B$4:$H$72,2,0)="ü",2,0))</f>
        <v>#N/A</v>
      </c>
      <c r="X11" s="35" t="e">
        <f>IF(VLOOKUP($H11,'How the score is generated (H)'!$B$4:$H$72,3,0)="ü",$Q11,0)</f>
        <v>#N/A</v>
      </c>
      <c r="Y11" s="36" t="e">
        <f>IF(VLOOKUP($H11,'How the score is generated (H)'!$B$4:$H$72,3,0)="ü",$S11,0)</f>
        <v>#N/A</v>
      </c>
      <c r="Z11" s="145" t="e">
        <f>IF($N11=0,0,IF(VLOOKUP($H11,'How the score is generated (H)'!$B$4:$H$72,3,0)="ü",2,0))</f>
        <v>#N/A</v>
      </c>
      <c r="AA11" s="35" t="e">
        <f>IF(VLOOKUP($H11,'How the score is generated (H)'!$B$4:$H$72,4,0)="ü",$Q11,0)</f>
        <v>#N/A</v>
      </c>
      <c r="AB11" s="36" t="e">
        <f>IF(VLOOKUP($H11,'How the score is generated (H)'!$B$4:$H$72,4,0)="ü",$S11,0)</f>
        <v>#N/A</v>
      </c>
      <c r="AC11" s="145" t="e">
        <f>IF($N11=0,0,IF(VLOOKUP($H11,'How the score is generated (H)'!$B$4:$H$72,4,0)="ü",2,0))</f>
        <v>#N/A</v>
      </c>
      <c r="AD11" s="35" t="e">
        <f>IF(VLOOKUP($H11,'How the score is generated (H)'!$B$4:$H$72,5,0)="ü",$Q11,0)</f>
        <v>#N/A</v>
      </c>
      <c r="AE11" s="36" t="e">
        <f>IF(VLOOKUP($H11,'How the score is generated (H)'!$B$4:$H$72,5,0)="ü",$S11,0)</f>
        <v>#N/A</v>
      </c>
      <c r="AF11" s="145" t="e">
        <f>IF($N11=0,0,IF(VLOOKUP($H11,'How the score is generated (H)'!$B$4:$H$72,5,0)="ü",2,0))</f>
        <v>#N/A</v>
      </c>
      <c r="AG11" s="35" t="e">
        <f>IF(VLOOKUP($H11,'How the score is generated (H)'!$B$4:$H$72,6,0)="ü",$Q11,0)</f>
        <v>#N/A</v>
      </c>
      <c r="AH11" s="36" t="e">
        <f>IF(VLOOKUP($H11,'How the score is generated (H)'!$B$4:$H$72,6,0)="ü",$S11,0)</f>
        <v>#N/A</v>
      </c>
      <c r="AI11" s="145" t="e">
        <f>IF($N11=0,0,IF(VLOOKUP($H11,'How the score is generated (H)'!$B$4:$H$72,6,0)="ü",2,0))</f>
        <v>#N/A</v>
      </c>
      <c r="AJ11" s="35" t="e">
        <f>IF(VLOOKUP($H11,'How the score is generated (H)'!$B$4:$H$72,7,0)="ü",$Q11,0)</f>
        <v>#N/A</v>
      </c>
      <c r="AK11" s="36" t="e">
        <f>IF(VLOOKUP($H11,'How the score is generated (H)'!$B$4:$H$72,7,0)="ü",$S11,0)</f>
        <v>#N/A</v>
      </c>
      <c r="AL11" s="145" t="e">
        <f>IF($N11=0,0,IF(VLOOKUP($H11,'How the score is generated (H)'!$B$4:$H$72,7,0)="ü",2,0))</f>
        <v>#N/A</v>
      </c>
      <c r="AM11" s="35" t="e">
        <f>IF(VLOOKUP($H11,'How the score is generated (H)'!$B$4:$H$72,8,0)="ü",$Q11,0)</f>
        <v>#N/A</v>
      </c>
      <c r="AN11" s="36" t="e">
        <f>IF(VLOOKUP($H11,'How the score is generated (H)'!$B$4:$H$72,8,0)="ü",$S11,0)</f>
        <v>#N/A</v>
      </c>
      <c r="AO11" s="145" t="e">
        <f>IF($N11=0,0,IF(VLOOKUP($H11,'How the score is generated (H)'!$B$4:$H$72,8,0)="ü",2,0))</f>
        <v>#N/A</v>
      </c>
      <c r="AP11" s="23"/>
      <c r="AQ11" s="35" t="e">
        <f>IF(VLOOKUP($H11,'How the score is generated (P)'!$B$4:$I$72,2,0)="ü",$Q11,0)</f>
        <v>#N/A</v>
      </c>
      <c r="AR11" s="36" t="e">
        <f>IF(VLOOKUP($H11,'How the score is generated (P)'!$B$4:$I$72,2,0)="ü",$S11,0)</f>
        <v>#N/A</v>
      </c>
      <c r="AS11" s="145" t="e">
        <f>IF($N11=0,0,IF(VLOOKUP($H11,'How the score is generated (P)'!$B$4:$I$72,2,0)="ü",2,0))</f>
        <v>#N/A</v>
      </c>
      <c r="AT11" s="35" t="e">
        <f>IF(VLOOKUP($H11,'How the score is generated (P)'!$B$4:$I$72,3,0)="ü",$Q11,0)</f>
        <v>#N/A</v>
      </c>
      <c r="AU11" s="36" t="e">
        <f>IF(VLOOKUP($H11,'How the score is generated (P)'!$B$4:$I$72,3,0)="ü",$S11,0)</f>
        <v>#N/A</v>
      </c>
      <c r="AV11" s="145" t="e">
        <f>IF($N11=0,0,IF(VLOOKUP($H11,'How the score is generated (P)'!$B$4:$I$72,3,0)="ü",2,0))</f>
        <v>#N/A</v>
      </c>
      <c r="AW11" s="35" t="e">
        <f>IF(VLOOKUP($H11,'How the score is generated (P)'!$B$4:$I$72,4,0)="ü",$Q11,0)</f>
        <v>#N/A</v>
      </c>
      <c r="AX11" s="36" t="e">
        <f>IF(VLOOKUP($H11,'How the score is generated (P)'!$B$4:$I$72,4,0)="ü",$S11,0)</f>
        <v>#N/A</v>
      </c>
      <c r="AY11" s="145" t="e">
        <f>IF($N11=0,0,IF(VLOOKUP($H11,'How the score is generated (P)'!$B$4:$I$72,4,0)="ü",2,0))</f>
        <v>#N/A</v>
      </c>
      <c r="AZ11" s="35" t="e">
        <f>IF(VLOOKUP($H11,'How the score is generated (P)'!$B$4:$I$72,5,0)="ü",$Q11,0)</f>
        <v>#N/A</v>
      </c>
      <c r="BA11" s="36" t="e">
        <f>IF(VLOOKUP($H11,'How the score is generated (P)'!$B$4:$I$72,5,0)="ü",$S11,0)</f>
        <v>#N/A</v>
      </c>
      <c r="BB11" s="145" t="e">
        <f>IF($N11=0,0,IF(VLOOKUP($H11,'How the score is generated (P)'!$B$4:$I$72,5,0)="ü",2,0))</f>
        <v>#N/A</v>
      </c>
      <c r="BC11" s="35" t="e">
        <f>IF(VLOOKUP($H11,'How the score is generated (P)'!$B$4:$I$72,6,0)="ü",$Q11,0)</f>
        <v>#N/A</v>
      </c>
      <c r="BD11" s="36" t="e">
        <f>IF(VLOOKUP($H11,'How the score is generated (P)'!$B$4:$I$72,6,0)="ü",$S11,0)</f>
        <v>#N/A</v>
      </c>
      <c r="BE11" s="145" t="e">
        <f>IF($N11=0,0,IF(VLOOKUP($H11,'How the score is generated (P)'!$B$4:$I$72,6,0)="ü",2,0))</f>
        <v>#N/A</v>
      </c>
      <c r="BF11" s="35" t="e">
        <f>IF(VLOOKUP($H11,'How the score is generated (P)'!$B$4:$I$72,7,0)="ü",$Q11,0)</f>
        <v>#N/A</v>
      </c>
      <c r="BG11" s="36" t="e">
        <f>IF(VLOOKUP($H11,'How the score is generated (P)'!$B$4:$I$72,7,0)="ü",$S11,0)</f>
        <v>#N/A</v>
      </c>
      <c r="BH11" s="145" t="e">
        <f>IF($N11=0,0,IF(VLOOKUP($H11,'How the score is generated (P)'!$B$4:$I$72,7,0)="ü",2,0))</f>
        <v>#N/A</v>
      </c>
      <c r="BI11" s="35" t="e">
        <f>IF(VLOOKUP($H11,'How the score is generated (P)'!$B$4:$I$72,8,0)="ü",$Q11,0)</f>
        <v>#N/A</v>
      </c>
      <c r="BJ11" s="36" t="e">
        <f>IF(VLOOKUP($H11,'How the score is generated (P)'!$B$4:$I$72,8,0)="ü",$S11,0)</f>
        <v>#N/A</v>
      </c>
      <c r="BK11" s="145" t="e">
        <f>IF($N11=0,0,IF(VLOOKUP($H11,'How the score is generated (P)'!$B$4:$I$72,8,0)="ü",2,0))</f>
        <v>#N/A</v>
      </c>
      <c r="BL11" s="23"/>
      <c r="BM11" s="201"/>
      <c r="BN11" s="23"/>
      <c r="BO11" s="146"/>
      <c r="BT11" s="34"/>
      <c r="BU11" s="34" t="str">
        <f>IF(BT11="Amber",IF(S11=0,"Residual Amber",""),"")</f>
        <v/>
      </c>
      <c r="BV11" s="34">
        <f>IF(N11=0,"",IF(O11="","",O11))</f>
        <v>0</v>
      </c>
      <c r="BW11" s="34">
        <f>IF(N11=0,"",IF(P11="","",P11))</f>
        <v>0</v>
      </c>
      <c r="BX11" s="34" t="str">
        <f>D11&amp;". "&amp;H11</f>
        <v>4. Delay to cyclists and pedestrians at junctions</v>
      </c>
    </row>
    <row r="12" spans="1:76" ht="86.15" customHeight="1" thickBot="1" x14ac:dyDescent="0.4">
      <c r="A12" s="23"/>
      <c r="B12" s="31"/>
      <c r="C12" s="43" t="s">
        <v>38</v>
      </c>
      <c r="D12" s="165">
        <v>5</v>
      </c>
      <c r="E12" s="46" t="s">
        <v>39</v>
      </c>
      <c r="F12" s="169" t="s">
        <v>20</v>
      </c>
      <c r="G12" s="177" t="s">
        <v>49</v>
      </c>
      <c r="H12" s="178" t="s">
        <v>50</v>
      </c>
      <c r="I12" s="273"/>
      <c r="J12" s="179"/>
      <c r="K12" s="178" t="s">
        <v>51</v>
      </c>
      <c r="L12" s="178" t="s">
        <v>52</v>
      </c>
      <c r="M12" s="180" t="s">
        <v>500</v>
      </c>
      <c r="N12" s="170">
        <f>IF(Project!$B$27="Off Highway",0,1)</f>
        <v>1</v>
      </c>
      <c r="O12" s="237">
        <f>IF(Scoring!O12="A",0,Scoring!O12)</f>
        <v>0</v>
      </c>
      <c r="P12" s="144">
        <f>IF(Scoring!P12="A",0,Scoring!P12)</f>
        <v>0</v>
      </c>
      <c r="Q12" s="129">
        <f>IF($N12=0,0,O12)</f>
        <v>0</v>
      </c>
      <c r="R12" s="34">
        <f>IF($N12=0,0,2)</f>
        <v>2</v>
      </c>
      <c r="S12" s="34">
        <f>IF($N12=0,0,Scoring!P12)</f>
        <v>0</v>
      </c>
      <c r="T12" s="34">
        <f>IF($N12=0,0,2)</f>
        <v>2</v>
      </c>
      <c r="U12" s="35">
        <f>IF(VLOOKUP($H12,'How the score is generated (H)'!$B$4:$H$72,2,0)="ü",$Q12,0)</f>
        <v>0</v>
      </c>
      <c r="V12" s="36">
        <f>IF(VLOOKUP($H12,'How the score is generated (H)'!$B$4:$H$72,2,0)="ü",$S12,0)</f>
        <v>0</v>
      </c>
      <c r="W12" s="145">
        <f>IF($N12=0,0,IF(VLOOKUP($H12,'How the score is generated (H)'!$B$4:$H$72,2,0)="ü",2,0))</f>
        <v>2</v>
      </c>
      <c r="X12" s="35">
        <f>IF(VLOOKUP($H12,'How the score is generated (H)'!$B$4:$H$72,3,0)="ü",$Q12,0)</f>
        <v>0</v>
      </c>
      <c r="Y12" s="36">
        <f>IF(VLOOKUP($H12,'How the score is generated (H)'!$B$4:$H$72,3,0)="ü",$S12,0)</f>
        <v>0</v>
      </c>
      <c r="Z12" s="145">
        <f>IF($N12=0,0,IF(VLOOKUP($H12,'How the score is generated (H)'!$B$4:$H$72,3,0)="ü",2,0))</f>
        <v>2</v>
      </c>
      <c r="AA12" s="35">
        <f>IF(VLOOKUP($H12,'How the score is generated (H)'!$B$4:$H$72,4,0)="ü",$Q12,0)</f>
        <v>0</v>
      </c>
      <c r="AB12" s="36">
        <f>IF(VLOOKUP($H12,'How the score is generated (H)'!$B$4:$H$72,4,0)="ü",$S12,0)</f>
        <v>0</v>
      </c>
      <c r="AC12" s="145">
        <f>IF($N12=0,0,IF(VLOOKUP($H12,'How the score is generated (H)'!$B$4:$H$72,4,0)="ü",2,0))</f>
        <v>2</v>
      </c>
      <c r="AD12" s="35">
        <f>IF(VLOOKUP($H12,'How the score is generated (H)'!$B$4:$H$72,5,0)="ü",$Q12,0)</f>
        <v>0</v>
      </c>
      <c r="AE12" s="36">
        <f>IF(VLOOKUP($H12,'How the score is generated (H)'!$B$4:$H$72,5,0)="ü",$S12,0)</f>
        <v>0</v>
      </c>
      <c r="AF12" s="145">
        <f>IF($N12=0,0,IF(VLOOKUP($H12,'How the score is generated (H)'!$B$4:$H$72,5,0)="ü",2,0))</f>
        <v>0</v>
      </c>
      <c r="AG12" s="35">
        <f>IF(VLOOKUP($H12,'How the score is generated (H)'!$B$4:$H$72,6,0)="ü",$Q12,0)</f>
        <v>0</v>
      </c>
      <c r="AH12" s="36">
        <f>IF(VLOOKUP($H12,'How the score is generated (H)'!$B$4:$H$72,6,0)="ü",$S12,0)</f>
        <v>0</v>
      </c>
      <c r="AI12" s="145">
        <f>IF($N12=0,0,IF(VLOOKUP($H12,'How the score is generated (H)'!$B$4:$H$72,6,0)="ü",2,0))</f>
        <v>0</v>
      </c>
      <c r="AJ12" s="35">
        <f>IF(VLOOKUP($H12,'How the score is generated (H)'!$B$4:$H$72,7,0)="ü",$Q12,0)</f>
        <v>0</v>
      </c>
      <c r="AK12" s="36">
        <f>IF(VLOOKUP($H12,'How the score is generated (H)'!$B$4:$H$72,7,0)="ü",$S12,0)</f>
        <v>0</v>
      </c>
      <c r="AL12" s="145">
        <f>IF($N12=0,0,IF(VLOOKUP($H12,'How the score is generated (H)'!$B$4:$H$72,7,0)="ü",2,0))</f>
        <v>0</v>
      </c>
      <c r="AM12" s="35" t="e">
        <f>IF(VLOOKUP($H12,'How the score is generated (H)'!$B$4:$H$72,8,0)="ü",$Q12,0)</f>
        <v>#REF!</v>
      </c>
      <c r="AN12" s="36" t="e">
        <f>IF(VLOOKUP($H12,'How the score is generated (H)'!$B$4:$H$72,8,0)="ü",$S12,0)</f>
        <v>#REF!</v>
      </c>
      <c r="AO12" s="145" t="e">
        <f>IF($N12=0,0,IF(VLOOKUP($H12,'How the score is generated (H)'!$B$4:$H$72,8,0)="ü",2,0))</f>
        <v>#REF!</v>
      </c>
      <c r="AP12" s="23"/>
      <c r="AQ12" s="35">
        <f>IF(VLOOKUP($H12,'How the score is generated (P)'!$B$4:$I$72,2,0)="ü",$Q12,0)</f>
        <v>0</v>
      </c>
      <c r="AR12" s="36">
        <f>IF(VLOOKUP($H12,'How the score is generated (P)'!$B$4:$I$72,2,0)="ü",$S12,0)</f>
        <v>0</v>
      </c>
      <c r="AS12" s="145">
        <f>IF($N12=0,0,IF(VLOOKUP($H12,'How the score is generated (P)'!$B$4:$I$72,2,0)="ü",2,0))</f>
        <v>0</v>
      </c>
      <c r="AT12" s="35">
        <f>IF(VLOOKUP($H12,'How the score is generated (P)'!$B$4:$I$72,3,0)="ü",$Q12,0)</f>
        <v>0</v>
      </c>
      <c r="AU12" s="36">
        <f>IF(VLOOKUP($H12,'How the score is generated (P)'!$B$4:$I$72,3,0)="ü",$S12,0)</f>
        <v>0</v>
      </c>
      <c r="AV12" s="145">
        <f>IF($N12=0,0,IF(VLOOKUP($H12,'How the score is generated (P)'!$B$4:$I$72,3,0)="ü",2,0))</f>
        <v>0</v>
      </c>
      <c r="AW12" s="35">
        <f>IF(VLOOKUP($H12,'How the score is generated (P)'!$B$4:$I$72,4,0)="ü",$Q12,0)</f>
        <v>0</v>
      </c>
      <c r="AX12" s="36">
        <f>IF(VLOOKUP($H12,'How the score is generated (P)'!$B$4:$I$72,4,0)="ü",$S12,0)</f>
        <v>0</v>
      </c>
      <c r="AY12" s="145">
        <f>IF($N12=0,0,IF(VLOOKUP($H12,'How the score is generated (P)'!$B$4:$I$72,4,0)="ü",2,0))</f>
        <v>2</v>
      </c>
      <c r="AZ12" s="35">
        <f>IF(VLOOKUP($H12,'How the score is generated (P)'!$B$4:$I$72,5,0)="ü",$Q12,0)</f>
        <v>0</v>
      </c>
      <c r="BA12" s="36">
        <f>IF(VLOOKUP($H12,'How the score is generated (P)'!$B$4:$I$72,5,0)="ü",$S12,0)</f>
        <v>0</v>
      </c>
      <c r="BB12" s="145">
        <f>IF($N12=0,0,IF(VLOOKUP($H12,'How the score is generated (P)'!$B$4:$I$72,5,0)="ü",2,0))</f>
        <v>0</v>
      </c>
      <c r="BC12" s="35">
        <f>IF(VLOOKUP($H12,'How the score is generated (P)'!$B$4:$I$72,6,0)="ü",$Q12,0)</f>
        <v>0</v>
      </c>
      <c r="BD12" s="36">
        <f>IF(VLOOKUP($H12,'How the score is generated (P)'!$B$4:$I$72,6,0)="ü",$S12,0)</f>
        <v>0</v>
      </c>
      <c r="BE12" s="145">
        <f>IF($N12=0,0,IF(VLOOKUP($H12,'How the score is generated (P)'!$B$4:$I$72,6,0)="ü",2,0))</f>
        <v>0</v>
      </c>
      <c r="BF12" s="35">
        <f>IF(VLOOKUP($H12,'How the score is generated (P)'!$B$4:$I$72,7,0)="ü",$Q12,0)</f>
        <v>0</v>
      </c>
      <c r="BG12" s="36">
        <f>IF(VLOOKUP($H12,'How the score is generated (P)'!$B$4:$I$72,7,0)="ü",$S12,0)</f>
        <v>0</v>
      </c>
      <c r="BH12" s="145">
        <f>IF($N12=0,0,IF(VLOOKUP($H12,'How the score is generated (P)'!$B$4:$I$72,7,0)="ü",2,0))</f>
        <v>0</v>
      </c>
      <c r="BI12" s="35">
        <f>IF(VLOOKUP($H12,'How the score is generated (P)'!$B$4:$I$72,8,0)="ü",$Q12,0)</f>
        <v>0</v>
      </c>
      <c r="BJ12" s="36">
        <f>IF(VLOOKUP($H12,'How the score is generated (P)'!$B$4:$I$72,8,0)="ü",$S12,0)</f>
        <v>0</v>
      </c>
      <c r="BK12" s="145">
        <f>IF($N12=0,0,IF(VLOOKUP($H12,'How the score is generated (P)'!$B$4:$I$72,8,0)="ü",2,0))</f>
        <v>0</v>
      </c>
      <c r="BL12" s="23"/>
      <c r="BM12" s="201"/>
      <c r="BN12" s="23"/>
      <c r="BO12" s="146"/>
      <c r="BT12" s="34"/>
      <c r="BU12" s="34" t="str">
        <f>IF(BT12="Amber",IF(S12=0,"Residual Amber",""),"")</f>
        <v/>
      </c>
      <c r="BV12" s="34">
        <f>IF(N12=0,"",IF(O12="","",O12))</f>
        <v>0</v>
      </c>
      <c r="BW12" s="34">
        <f>IF(N12=0,"",IF(P12="","",P12))</f>
        <v>0</v>
      </c>
      <c r="BX12" s="34" t="str">
        <f>D12&amp;". "&amp;H12</f>
        <v xml:space="preserve">5. Technology to optimise efficiency of movement (pedestrians, cyclists, buses and general motor traffic) </v>
      </c>
    </row>
    <row r="13" spans="1:76" ht="15" thickBot="1" x14ac:dyDescent="0.4">
      <c r="A13" s="23"/>
      <c r="B13" s="31"/>
      <c r="C13" s="47"/>
      <c r="D13" s="47"/>
      <c r="E13" s="47"/>
      <c r="F13" s="47"/>
      <c r="G13" s="171" t="s">
        <v>38</v>
      </c>
      <c r="H13" s="172"/>
      <c r="I13" s="263"/>
      <c r="J13" s="172"/>
      <c r="K13" s="172"/>
      <c r="L13" s="172"/>
      <c r="M13" s="172"/>
      <c r="N13" s="48"/>
      <c r="O13" s="49" t="str">
        <f>Q13&amp;"/"&amp;R13</f>
        <v>0/10</v>
      </c>
      <c r="P13" s="50" t="str">
        <f>S13&amp;"/"&amp;T13</f>
        <v>0/10</v>
      </c>
      <c r="Q13" s="51">
        <f>SUM(Q8:Q12)</f>
        <v>0</v>
      </c>
      <c r="R13" s="51">
        <f>SUM(R8:R12)</f>
        <v>10</v>
      </c>
      <c r="S13" s="51">
        <f>SUM(S8:S12)</f>
        <v>0</v>
      </c>
      <c r="T13" s="51">
        <f>SUM(T8:T12)</f>
        <v>10</v>
      </c>
      <c r="U13" s="31"/>
      <c r="V13" s="31"/>
      <c r="W13" s="31"/>
      <c r="X13" s="31"/>
      <c r="Y13" s="31"/>
      <c r="Z13" s="31"/>
      <c r="AA13" s="31"/>
      <c r="AB13" s="31"/>
      <c r="AC13" s="31"/>
      <c r="AD13" s="31"/>
      <c r="AE13" s="31"/>
      <c r="AF13" s="31"/>
      <c r="AG13" s="31"/>
      <c r="AH13" s="31"/>
      <c r="AI13" s="31"/>
      <c r="AJ13" s="31"/>
      <c r="AK13" s="31"/>
      <c r="AL13" s="31"/>
      <c r="AM13" s="31"/>
      <c r="AN13" s="31"/>
      <c r="AO13" s="31"/>
      <c r="AP13" s="23"/>
      <c r="AQ13" s="31"/>
      <c r="AR13" s="31"/>
      <c r="AS13" s="31"/>
      <c r="AT13" s="31"/>
      <c r="AU13" s="31"/>
      <c r="AV13" s="31"/>
      <c r="AW13" s="31"/>
      <c r="AX13" s="31"/>
      <c r="AY13" s="31"/>
      <c r="AZ13" s="31"/>
      <c r="BA13" s="31"/>
      <c r="BB13" s="31"/>
      <c r="BC13" s="31"/>
      <c r="BD13" s="31"/>
      <c r="BE13" s="31"/>
      <c r="BF13" s="31"/>
      <c r="BG13" s="31"/>
      <c r="BH13" s="31"/>
      <c r="BI13" s="31"/>
      <c r="BJ13" s="31"/>
      <c r="BK13" s="31"/>
      <c r="BL13" s="23"/>
      <c r="BM13" s="23"/>
      <c r="BN13" s="23"/>
      <c r="BO13" s="23"/>
      <c r="BT13" s="51"/>
      <c r="BU13" s="51"/>
      <c r="BV13" s="51"/>
      <c r="BW13" s="51"/>
      <c r="BX13" s="51"/>
    </row>
    <row r="14" spans="1:76" ht="15" thickBot="1" x14ac:dyDescent="0.4">
      <c r="A14" s="23"/>
      <c r="B14" s="31"/>
      <c r="C14" s="31"/>
      <c r="D14" s="31"/>
      <c r="E14" s="31"/>
      <c r="F14" s="31"/>
      <c r="G14" s="31"/>
      <c r="H14" s="31"/>
      <c r="I14" s="26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23"/>
      <c r="AQ14" s="31"/>
      <c r="AR14" s="31"/>
      <c r="AS14" s="31"/>
      <c r="AT14" s="31"/>
      <c r="AU14" s="31"/>
      <c r="AV14" s="31"/>
      <c r="AW14" s="31"/>
      <c r="AX14" s="31"/>
      <c r="AY14" s="31"/>
      <c r="AZ14" s="31"/>
      <c r="BA14" s="31"/>
      <c r="BB14" s="31"/>
      <c r="BC14" s="31"/>
      <c r="BD14" s="31"/>
      <c r="BE14" s="31"/>
      <c r="BF14" s="31"/>
      <c r="BG14" s="31"/>
      <c r="BH14" s="31"/>
      <c r="BI14" s="31"/>
      <c r="BJ14" s="31"/>
      <c r="BK14" s="31"/>
      <c r="BL14" s="23"/>
      <c r="BM14" s="23"/>
      <c r="BN14" s="23"/>
      <c r="BO14" s="23"/>
      <c r="BT14" s="31"/>
      <c r="BU14" s="31"/>
      <c r="BV14" s="31"/>
      <c r="BW14" s="31"/>
      <c r="BX14" s="31"/>
    </row>
    <row r="15" spans="1:76" ht="16" thickBot="1" x14ac:dyDescent="0.4">
      <c r="A15" s="23"/>
      <c r="B15" s="31"/>
      <c r="C15" s="52"/>
      <c r="D15" s="53"/>
      <c r="E15" s="53"/>
      <c r="F15" s="53"/>
      <c r="G15" s="522" t="s">
        <v>53</v>
      </c>
      <c r="H15" s="655"/>
      <c r="I15" s="655"/>
      <c r="J15" s="655"/>
      <c r="K15" s="655"/>
      <c r="L15" s="655"/>
      <c r="M15" s="656"/>
      <c r="N15" s="28"/>
      <c r="O15" s="29" t="s">
        <v>32</v>
      </c>
      <c r="P15" s="224" t="s">
        <v>33</v>
      </c>
      <c r="Q15" s="30"/>
      <c r="R15" s="30"/>
      <c r="S15" s="30"/>
      <c r="T15" s="30"/>
      <c r="U15" s="54"/>
      <c r="V15" s="54"/>
      <c r="W15" s="54"/>
      <c r="X15" s="54"/>
      <c r="Y15" s="54"/>
      <c r="Z15" s="54"/>
      <c r="AA15" s="54"/>
      <c r="AB15" s="54"/>
      <c r="AC15" s="54"/>
      <c r="AD15" s="54"/>
      <c r="AE15" s="54"/>
      <c r="AF15" s="54"/>
      <c r="AG15" s="54"/>
      <c r="AH15" s="54"/>
      <c r="AI15" s="54"/>
      <c r="AJ15" s="54"/>
      <c r="AK15" s="54"/>
      <c r="AL15" s="54"/>
      <c r="AM15" s="54"/>
      <c r="AN15" s="54"/>
      <c r="AO15" s="54"/>
      <c r="AP15" s="23"/>
      <c r="AQ15" s="54"/>
      <c r="AR15" s="54"/>
      <c r="AS15" s="54"/>
      <c r="AT15" s="54"/>
      <c r="AU15" s="54"/>
      <c r="AV15" s="54"/>
      <c r="AW15" s="54"/>
      <c r="AX15" s="54"/>
      <c r="AY15" s="54"/>
      <c r="AZ15" s="54"/>
      <c r="BA15" s="54"/>
      <c r="BB15" s="54"/>
      <c r="BC15" s="54"/>
      <c r="BD15" s="54"/>
      <c r="BE15" s="54"/>
      <c r="BF15" s="54"/>
      <c r="BG15" s="54"/>
      <c r="BH15" s="54"/>
      <c r="BI15" s="54"/>
      <c r="BJ15" s="54"/>
      <c r="BK15" s="54"/>
      <c r="BL15" s="23"/>
      <c r="BM15" s="23"/>
      <c r="BN15" s="23"/>
      <c r="BO15" s="23"/>
      <c r="BT15" s="30"/>
      <c r="BU15" s="30"/>
      <c r="BV15" s="30"/>
      <c r="BW15" s="30"/>
      <c r="BX15" s="30"/>
    </row>
    <row r="16" spans="1:76" ht="52.5" thickBot="1" x14ac:dyDescent="0.4">
      <c r="A16" s="23"/>
      <c r="B16" s="31"/>
      <c r="C16" s="43" t="s">
        <v>54</v>
      </c>
      <c r="D16" s="163">
        <f>D12+1</f>
        <v>6</v>
      </c>
      <c r="E16" s="33" t="s">
        <v>39</v>
      </c>
      <c r="F16" s="204" t="s">
        <v>43</v>
      </c>
      <c r="G16" s="173" t="s">
        <v>524</v>
      </c>
      <c r="H16" s="174" t="s">
        <v>528</v>
      </c>
      <c r="I16" s="271"/>
      <c r="J16" s="175" t="s">
        <v>525</v>
      </c>
      <c r="K16" s="174" t="s">
        <v>526</v>
      </c>
      <c r="L16" s="174" t="s">
        <v>527</v>
      </c>
      <c r="M16" s="176" t="s">
        <v>55</v>
      </c>
      <c r="N16" s="170">
        <f>IF(Project!$B$27="Off Highway",0,1)</f>
        <v>1</v>
      </c>
      <c r="O16" s="237">
        <f>IF(Scoring!O16="A",0,Scoring!O16)</f>
        <v>0</v>
      </c>
      <c r="P16" s="144">
        <f>IF(Scoring!P16="A",0,Scoring!P16)</f>
        <v>0</v>
      </c>
      <c r="Q16" s="129">
        <f t="shared" ref="Q16:Q21" si="0">IF($N16=0,0,O16)</f>
        <v>0</v>
      </c>
      <c r="R16" s="34">
        <f t="shared" ref="R16:R21" si="1">IF($N16=0,0,2)</f>
        <v>2</v>
      </c>
      <c r="S16" s="34">
        <f>IF($N16=0,0,Scoring!P16)</f>
        <v>0</v>
      </c>
      <c r="T16" s="34">
        <f t="shared" ref="T16:T21" si="2">IF($N16=0,0,2)</f>
        <v>2</v>
      </c>
      <c r="U16" s="35" t="e">
        <f>IF(VLOOKUP($H16,'How the score is generated (H)'!$B$4:$H$72,2,0)="ü",$Q16,0)</f>
        <v>#N/A</v>
      </c>
      <c r="V16" s="36" t="e">
        <f>IF(VLOOKUP($H16,'How the score is generated (H)'!$B$4:$H$72,2,0)="ü",$S16,0)</f>
        <v>#N/A</v>
      </c>
      <c r="W16" s="145" t="e">
        <f>IF($N16=0,0,IF(VLOOKUP($H16,'How the score is generated (H)'!$B$4:$H$72,2,0)="ü",2,0))</f>
        <v>#N/A</v>
      </c>
      <c r="X16" s="35" t="e">
        <f>IF(VLOOKUP($H16,'How the score is generated (H)'!$B$4:$H$72,3,0)="ü",$Q16,0)</f>
        <v>#N/A</v>
      </c>
      <c r="Y16" s="36" t="e">
        <f>IF(VLOOKUP($H16,'How the score is generated (H)'!$B$4:$H$72,3,0)="ü",$S16,0)</f>
        <v>#N/A</v>
      </c>
      <c r="Z16" s="145" t="e">
        <f>IF($N16=0,0,IF(VLOOKUP($H16,'How the score is generated (H)'!$B$4:$H$72,3,0)="ü",2,0))</f>
        <v>#N/A</v>
      </c>
      <c r="AA16" s="35" t="e">
        <f>IF(VLOOKUP($H16,'How the score is generated (H)'!$B$4:$H$72,4,0)="ü",$Q16,0)</f>
        <v>#N/A</v>
      </c>
      <c r="AB16" s="36" t="e">
        <f>IF(VLOOKUP($H16,'How the score is generated (H)'!$B$4:$H$72,4,0)="ü",$S16,0)</f>
        <v>#N/A</v>
      </c>
      <c r="AC16" s="145" t="e">
        <f>IF($N16=0,0,IF(VLOOKUP($H16,'How the score is generated (H)'!$B$4:$H$72,4,0)="ü",2,0))</f>
        <v>#N/A</v>
      </c>
      <c r="AD16" s="35" t="e">
        <f>IF(VLOOKUP($H16,'How the score is generated (H)'!$B$4:$H$72,5,0)="ü",$Q16,0)</f>
        <v>#N/A</v>
      </c>
      <c r="AE16" s="36" t="e">
        <f>IF(VLOOKUP($H16,'How the score is generated (H)'!$B$4:$H$72,5,0)="ü",$S16,0)</f>
        <v>#N/A</v>
      </c>
      <c r="AF16" s="145" t="e">
        <f>IF($N16=0,0,IF(VLOOKUP($H16,'How the score is generated (H)'!$B$4:$H$72,5,0)="ü",2,0))</f>
        <v>#N/A</v>
      </c>
      <c r="AG16" s="35" t="e">
        <f>IF(VLOOKUP($H16,'How the score is generated (H)'!$B$4:$H$72,6,0)="ü",$Q16,0)</f>
        <v>#N/A</v>
      </c>
      <c r="AH16" s="36" t="e">
        <f>IF(VLOOKUP($H16,'How the score is generated (H)'!$B$4:$H$72,6,0)="ü",$S16,0)</f>
        <v>#N/A</v>
      </c>
      <c r="AI16" s="145" t="e">
        <f>IF($N16=0,0,IF(VLOOKUP($H16,'How the score is generated (H)'!$B$4:$H$72,6,0)="ü",2,0))</f>
        <v>#N/A</v>
      </c>
      <c r="AJ16" s="35" t="e">
        <f>IF(VLOOKUP($H16,'How the score is generated (H)'!$B$4:$H$72,7,0)="ü",$Q16,0)</f>
        <v>#N/A</v>
      </c>
      <c r="AK16" s="36" t="e">
        <f>IF(VLOOKUP($H16,'How the score is generated (H)'!$B$4:$H$72,7,0)="ü",$S16,0)</f>
        <v>#N/A</v>
      </c>
      <c r="AL16" s="145" t="e">
        <f>IF($N16=0,0,IF(VLOOKUP($H16,'How the score is generated (H)'!$B$4:$H$72,7,0)="ü",2,0))</f>
        <v>#N/A</v>
      </c>
      <c r="AM16" s="35" t="e">
        <f>IF(VLOOKUP($H16,'How the score is generated (H)'!$B$4:$H$72,8,0)="ü",$Q16,0)</f>
        <v>#N/A</v>
      </c>
      <c r="AN16" s="36" t="e">
        <f>IF(VLOOKUP($H16,'How the score is generated (H)'!$B$4:$H$72,8,0)="ü",$S16,0)</f>
        <v>#N/A</v>
      </c>
      <c r="AO16" s="145" t="e">
        <f>IF($N16=0,0,IF(VLOOKUP($H16,'How the score is generated (H)'!$B$4:$H$72,8,0)="ü",2,0))</f>
        <v>#N/A</v>
      </c>
      <c r="AP16" s="23"/>
      <c r="AQ16" s="35" t="e">
        <f>IF(VLOOKUP($H16,'How the score is generated (P)'!$B$4:$I$72,2,0)="ü",$Q16,0)</f>
        <v>#N/A</v>
      </c>
      <c r="AR16" s="36" t="e">
        <f>IF(VLOOKUP($H16,'How the score is generated (P)'!$B$4:$I$72,2,0)="ü",$S16,0)</f>
        <v>#N/A</v>
      </c>
      <c r="AS16" s="145" t="e">
        <f>IF($N16=0,0,IF(VLOOKUP($H16,'How the score is generated (P)'!$B$4:$I$72,2,0)="ü",2,0))</f>
        <v>#N/A</v>
      </c>
      <c r="AT16" s="35" t="e">
        <f>IF(VLOOKUP($H16,'How the score is generated (P)'!$B$4:$I$72,3,0)="ü",$Q16,0)</f>
        <v>#N/A</v>
      </c>
      <c r="AU16" s="36" t="e">
        <f>IF(VLOOKUP($H16,'How the score is generated (P)'!$B$4:$I$72,3,0)="ü",$S16,0)</f>
        <v>#N/A</v>
      </c>
      <c r="AV16" s="145" t="e">
        <f>IF($N16=0,0,IF(VLOOKUP($H16,'How the score is generated (P)'!$B$4:$I$72,3,0)="ü",2,0))</f>
        <v>#N/A</v>
      </c>
      <c r="AW16" s="35" t="e">
        <f>IF(VLOOKUP($H16,'How the score is generated (P)'!$B$4:$I$72,4,0)="ü",$Q16,0)</f>
        <v>#N/A</v>
      </c>
      <c r="AX16" s="36" t="e">
        <f>IF(VLOOKUP($H16,'How the score is generated (P)'!$B$4:$I$72,4,0)="ü",$S16,0)</f>
        <v>#N/A</v>
      </c>
      <c r="AY16" s="145" t="e">
        <f>IF($N16=0,0,IF(VLOOKUP($H16,'How the score is generated (P)'!$B$4:$I$72,4,0)="ü",2,0))</f>
        <v>#N/A</v>
      </c>
      <c r="AZ16" s="35" t="e">
        <f>IF(VLOOKUP($H16,'How the score is generated (P)'!$B$4:$I$72,5,0)="ü",$Q16,0)</f>
        <v>#N/A</v>
      </c>
      <c r="BA16" s="36" t="e">
        <f>IF(VLOOKUP($H16,'How the score is generated (P)'!$B$4:$I$72,5,0)="ü",$S16,0)</f>
        <v>#N/A</v>
      </c>
      <c r="BB16" s="145" t="e">
        <f>IF($N16=0,0,IF(VLOOKUP($H16,'How the score is generated (P)'!$B$4:$I$72,5,0)="ü",2,0))</f>
        <v>#N/A</v>
      </c>
      <c r="BC16" s="35" t="e">
        <f>IF(VLOOKUP($H16,'How the score is generated (P)'!$B$4:$I$72,6,0)="ü",$Q16,0)</f>
        <v>#N/A</v>
      </c>
      <c r="BD16" s="36" t="e">
        <f>IF(VLOOKUP($H16,'How the score is generated (P)'!$B$4:$I$72,6,0)="ü",$S16,0)</f>
        <v>#N/A</v>
      </c>
      <c r="BE16" s="145" t="e">
        <f>IF($N16=0,0,IF(VLOOKUP($H16,'How the score is generated (P)'!$B$4:$I$72,6,0)="ü",2,0))</f>
        <v>#N/A</v>
      </c>
      <c r="BF16" s="35" t="e">
        <f>IF(VLOOKUP($H16,'How the score is generated (P)'!$B$4:$I$72,7,0)="ü",$Q16,0)</f>
        <v>#N/A</v>
      </c>
      <c r="BG16" s="36" t="e">
        <f>IF(VLOOKUP($H16,'How the score is generated (P)'!$B$4:$I$72,7,0)="ü",$S16,0)</f>
        <v>#N/A</v>
      </c>
      <c r="BH16" s="145" t="e">
        <f>IF($N16=0,0,IF(VLOOKUP($H16,'How the score is generated (P)'!$B$4:$I$72,7,0)="ü",2,0))</f>
        <v>#N/A</v>
      </c>
      <c r="BI16" s="35" t="e">
        <f>IF(VLOOKUP($H16,'How the score is generated (P)'!$B$4:$I$72,8,0)="ü",$Q16,0)</f>
        <v>#N/A</v>
      </c>
      <c r="BJ16" s="36" t="e">
        <f>IF(VLOOKUP($H16,'How the score is generated (P)'!$B$4:$I$72,8,0)="ü",$S16,0)</f>
        <v>#N/A</v>
      </c>
      <c r="BK16" s="145" t="e">
        <f>IF($N16=0,0,IF(VLOOKUP($H16,'How the score is generated (P)'!$B$4:$I$72,8,0)="ü",2,0))</f>
        <v>#N/A</v>
      </c>
      <c r="BL16" s="23"/>
      <c r="BM16" s="201"/>
      <c r="BN16" s="23"/>
      <c r="BO16" s="146"/>
      <c r="BT16" s="34"/>
      <c r="BU16" s="34" t="str">
        <f t="shared" ref="BU16:BU21" si="3">IF(BT16="Amber",IF(S16=0,"Residual Amber",""),"")</f>
        <v/>
      </c>
      <c r="BV16" s="34">
        <f t="shared" ref="BV16:BV21" si="4">IF(N16=0,"",IF(O16="","",O16))</f>
        <v>0</v>
      </c>
      <c r="BW16" s="34">
        <f t="shared" ref="BW16:BW21" si="5">IF(N16=0,"",IF(P16="","",P16))</f>
        <v>0</v>
      </c>
      <c r="BX16" s="34" t="str">
        <f t="shared" ref="BX16:BX21" si="6">D16&amp;". "&amp;H16</f>
        <v>6. Traffic volumes, parking and loading</v>
      </c>
    </row>
    <row r="17" spans="1:76" ht="94.5" customHeight="1" thickBot="1" x14ac:dyDescent="0.4">
      <c r="A17" s="23"/>
      <c r="B17" s="31"/>
      <c r="C17" s="43" t="s">
        <v>54</v>
      </c>
      <c r="D17" s="164">
        <f>D16+1</f>
        <v>7</v>
      </c>
      <c r="E17" s="44" t="s">
        <v>39</v>
      </c>
      <c r="F17" s="38" t="s">
        <v>43</v>
      </c>
      <c r="G17" s="39" t="s">
        <v>56</v>
      </c>
      <c r="H17" s="41" t="s">
        <v>57</v>
      </c>
      <c r="I17" s="272">
        <v>3.2</v>
      </c>
      <c r="J17" s="40" t="s">
        <v>532</v>
      </c>
      <c r="K17" s="41" t="s">
        <v>531</v>
      </c>
      <c r="L17" s="41" t="s">
        <v>530</v>
      </c>
      <c r="M17" s="42" t="s">
        <v>534</v>
      </c>
      <c r="N17" s="170">
        <f>IF(Project!$B$27="Off Highway",0,1)</f>
        <v>1</v>
      </c>
      <c r="O17" s="237">
        <f>IF(Scoring!O17="A",0,Scoring!O17)</f>
        <v>0</v>
      </c>
      <c r="P17" s="144">
        <f>IF(Scoring!P17="A",0,Scoring!P17)</f>
        <v>0</v>
      </c>
      <c r="Q17" s="129">
        <f t="shared" si="0"/>
        <v>0</v>
      </c>
      <c r="R17" s="34">
        <f t="shared" si="1"/>
        <v>2</v>
      </c>
      <c r="S17" s="34">
        <f>IF($N17=0,0,Scoring!P17)</f>
        <v>0</v>
      </c>
      <c r="T17" s="34">
        <f t="shared" si="2"/>
        <v>2</v>
      </c>
      <c r="U17" s="35" t="e">
        <f>IF(VLOOKUP($H17,'How the score is generated (H)'!$B$4:$H$72,2,0)="ü",$Q17,0)</f>
        <v>#N/A</v>
      </c>
      <c r="V17" s="36" t="e">
        <f>IF(VLOOKUP($H17,'How the score is generated (H)'!$B$4:$H$72,2,0)="ü",$S17,0)</f>
        <v>#N/A</v>
      </c>
      <c r="W17" s="145" t="e">
        <f>IF($N17=0,0,IF(VLOOKUP($H17,'How the score is generated (H)'!$B$4:$H$72,2,0)="ü",2,0))</f>
        <v>#N/A</v>
      </c>
      <c r="X17" s="35" t="e">
        <f>IF(VLOOKUP($H17,'How the score is generated (H)'!$B$4:$H$72,3,0)="ü",$Q17,0)</f>
        <v>#N/A</v>
      </c>
      <c r="Y17" s="36" t="e">
        <f>IF(VLOOKUP($H17,'How the score is generated (H)'!$B$4:$H$72,3,0)="ü",$S17,0)</f>
        <v>#N/A</v>
      </c>
      <c r="Z17" s="145" t="e">
        <f>IF($N17=0,0,IF(VLOOKUP($H17,'How the score is generated (H)'!$B$4:$H$72,3,0)="ü",2,0))</f>
        <v>#N/A</v>
      </c>
      <c r="AA17" s="35" t="e">
        <f>IF(VLOOKUP($H17,'How the score is generated (H)'!$B$4:$H$72,4,0)="ü",$Q17,0)</f>
        <v>#N/A</v>
      </c>
      <c r="AB17" s="36" t="e">
        <f>IF(VLOOKUP($H17,'How the score is generated (H)'!$B$4:$H$72,4,0)="ü",$S17,0)</f>
        <v>#N/A</v>
      </c>
      <c r="AC17" s="145" t="e">
        <f>IF($N17=0,0,IF(VLOOKUP($H17,'How the score is generated (H)'!$B$4:$H$72,4,0)="ü",2,0))</f>
        <v>#N/A</v>
      </c>
      <c r="AD17" s="35" t="e">
        <f>IF(VLOOKUP($H17,'How the score is generated (H)'!$B$4:$H$72,5,0)="ü",$Q17,0)</f>
        <v>#N/A</v>
      </c>
      <c r="AE17" s="36" t="e">
        <f>IF(VLOOKUP($H17,'How the score is generated (H)'!$B$4:$H$72,5,0)="ü",$S17,0)</f>
        <v>#N/A</v>
      </c>
      <c r="AF17" s="145" t="e">
        <f>IF($N17=0,0,IF(VLOOKUP($H17,'How the score is generated (H)'!$B$4:$H$72,5,0)="ü",2,0))</f>
        <v>#N/A</v>
      </c>
      <c r="AG17" s="35" t="e">
        <f>IF(VLOOKUP($H17,'How the score is generated (H)'!$B$4:$H$72,6,0)="ü",$Q17,0)</f>
        <v>#N/A</v>
      </c>
      <c r="AH17" s="36" t="e">
        <f>IF(VLOOKUP($H17,'How the score is generated (H)'!$B$4:$H$72,6,0)="ü",$S17,0)</f>
        <v>#N/A</v>
      </c>
      <c r="AI17" s="145" t="e">
        <f>IF($N17=0,0,IF(VLOOKUP($H17,'How the score is generated (H)'!$B$4:$H$72,6,0)="ü",2,0))</f>
        <v>#N/A</v>
      </c>
      <c r="AJ17" s="35" t="e">
        <f>IF(VLOOKUP($H17,'How the score is generated (H)'!$B$4:$H$72,7,0)="ü",$Q17,0)</f>
        <v>#N/A</v>
      </c>
      <c r="AK17" s="36" t="e">
        <f>IF(VLOOKUP($H17,'How the score is generated (H)'!$B$4:$H$72,7,0)="ü",$S17,0)</f>
        <v>#N/A</v>
      </c>
      <c r="AL17" s="145" t="e">
        <f>IF($N17=0,0,IF(VLOOKUP($H17,'How the score is generated (H)'!$B$4:$H$72,7,0)="ü",2,0))</f>
        <v>#N/A</v>
      </c>
      <c r="AM17" s="35" t="e">
        <f>IF(VLOOKUP($H17,'How the score is generated (H)'!$B$4:$H$72,8,0)="ü",$Q17,0)</f>
        <v>#N/A</v>
      </c>
      <c r="AN17" s="36" t="e">
        <f>IF(VLOOKUP($H17,'How the score is generated (H)'!$B$4:$H$72,8,0)="ü",$S17,0)</f>
        <v>#N/A</v>
      </c>
      <c r="AO17" s="145" t="e">
        <f>IF($N17=0,0,IF(VLOOKUP($H17,'How the score is generated (H)'!$B$4:$H$72,8,0)="ü",2,0))</f>
        <v>#N/A</v>
      </c>
      <c r="AP17" s="23"/>
      <c r="AQ17" s="35" t="e">
        <f>IF(VLOOKUP($H17,'How the score is generated (P)'!$B$4:$I$72,2,0)="ü",$Q17,0)</f>
        <v>#N/A</v>
      </c>
      <c r="AR17" s="36" t="e">
        <f>IF(VLOOKUP($H17,'How the score is generated (P)'!$B$4:$I$72,2,0)="ü",$S17,0)</f>
        <v>#N/A</v>
      </c>
      <c r="AS17" s="145" t="e">
        <f>IF($N17=0,0,IF(VLOOKUP($H17,'How the score is generated (P)'!$B$4:$I$72,2,0)="ü",2,0))</f>
        <v>#N/A</v>
      </c>
      <c r="AT17" s="35" t="e">
        <f>IF(VLOOKUP($H17,'How the score is generated (P)'!$B$4:$I$72,3,0)="ü",$Q17,0)</f>
        <v>#N/A</v>
      </c>
      <c r="AU17" s="36" t="e">
        <f>IF(VLOOKUP($H17,'How the score is generated (P)'!$B$4:$I$72,3,0)="ü",$S17,0)</f>
        <v>#N/A</v>
      </c>
      <c r="AV17" s="145" t="e">
        <f>IF($N17=0,0,IF(VLOOKUP($H17,'How the score is generated (P)'!$B$4:$I$72,3,0)="ü",2,0))</f>
        <v>#N/A</v>
      </c>
      <c r="AW17" s="35" t="e">
        <f>IF(VLOOKUP($H17,'How the score is generated (P)'!$B$4:$I$72,4,0)="ü",$Q17,0)</f>
        <v>#N/A</v>
      </c>
      <c r="AX17" s="36" t="e">
        <f>IF(VLOOKUP($H17,'How the score is generated (P)'!$B$4:$I$72,4,0)="ü",$S17,0)</f>
        <v>#N/A</v>
      </c>
      <c r="AY17" s="145" t="e">
        <f>IF($N17=0,0,IF(VLOOKUP($H17,'How the score is generated (P)'!$B$4:$I$72,4,0)="ü",2,0))</f>
        <v>#N/A</v>
      </c>
      <c r="AZ17" s="35" t="e">
        <f>IF(VLOOKUP($H17,'How the score is generated (P)'!$B$4:$I$72,5,0)="ü",$Q17,0)</f>
        <v>#N/A</v>
      </c>
      <c r="BA17" s="36" t="e">
        <f>IF(VLOOKUP($H17,'How the score is generated (P)'!$B$4:$I$72,5,0)="ü",$S17,0)</f>
        <v>#N/A</v>
      </c>
      <c r="BB17" s="145" t="e">
        <f>IF($N17=0,0,IF(VLOOKUP($H17,'How the score is generated (P)'!$B$4:$I$72,5,0)="ü",2,0))</f>
        <v>#N/A</v>
      </c>
      <c r="BC17" s="35" t="e">
        <f>IF(VLOOKUP($H17,'How the score is generated (P)'!$B$4:$I$72,6,0)="ü",$Q17,0)</f>
        <v>#N/A</v>
      </c>
      <c r="BD17" s="36" t="e">
        <f>IF(VLOOKUP($H17,'How the score is generated (P)'!$B$4:$I$72,6,0)="ü",$S17,0)</f>
        <v>#N/A</v>
      </c>
      <c r="BE17" s="145" t="e">
        <f>IF($N17=0,0,IF(VLOOKUP($H17,'How the score is generated (P)'!$B$4:$I$72,6,0)="ü",2,0))</f>
        <v>#N/A</v>
      </c>
      <c r="BF17" s="35" t="e">
        <f>IF(VLOOKUP($H17,'How the score is generated (P)'!$B$4:$I$72,7,0)="ü",$Q17,0)</f>
        <v>#N/A</v>
      </c>
      <c r="BG17" s="36" t="e">
        <f>IF(VLOOKUP($H17,'How the score is generated (P)'!$B$4:$I$72,7,0)="ü",$S17,0)</f>
        <v>#N/A</v>
      </c>
      <c r="BH17" s="145" t="e">
        <f>IF($N17=0,0,IF(VLOOKUP($H17,'How the score is generated (P)'!$B$4:$I$72,7,0)="ü",2,0))</f>
        <v>#N/A</v>
      </c>
      <c r="BI17" s="35" t="e">
        <f>IF(VLOOKUP($H17,'How the score is generated (P)'!$B$4:$I$72,8,0)="ü",$Q17,0)</f>
        <v>#N/A</v>
      </c>
      <c r="BJ17" s="36" t="e">
        <f>IF(VLOOKUP($H17,'How the score is generated (P)'!$B$4:$I$72,8,0)="ü",$S17,0)</f>
        <v>#N/A</v>
      </c>
      <c r="BK17" s="145" t="e">
        <f>IF($N17=0,0,IF(VLOOKUP($H17,'How the score is generated (P)'!$B$4:$I$72,8,0)="ü",2,0))</f>
        <v>#N/A</v>
      </c>
      <c r="BL17" s="23"/>
      <c r="BM17" s="201"/>
      <c r="BN17" s="23"/>
      <c r="BO17" s="146"/>
      <c r="BT17" s="34"/>
      <c r="BU17" s="34" t="str">
        <f t="shared" si="3"/>
        <v/>
      </c>
      <c r="BV17" s="34">
        <f t="shared" si="4"/>
        <v>0</v>
      </c>
      <c r="BW17" s="34">
        <f t="shared" si="5"/>
        <v>0</v>
      </c>
      <c r="BX17" s="34" t="str">
        <f t="shared" si="6"/>
        <v xml:space="preserve">7. Standard of crossing facility </v>
      </c>
    </row>
    <row r="18" spans="1:76" ht="26.5" thickBot="1" x14ac:dyDescent="0.4">
      <c r="A18" s="23"/>
      <c r="B18" s="31"/>
      <c r="C18" s="43" t="s">
        <v>54</v>
      </c>
      <c r="D18" s="164">
        <f>D17+1</f>
        <v>8</v>
      </c>
      <c r="E18" s="44" t="s">
        <v>39</v>
      </c>
      <c r="F18" s="38" t="s">
        <v>43</v>
      </c>
      <c r="G18" s="39" t="s">
        <v>58</v>
      </c>
      <c r="H18" s="41" t="s">
        <v>59</v>
      </c>
      <c r="I18" s="272"/>
      <c r="J18" s="45"/>
      <c r="K18" s="41" t="s">
        <v>60</v>
      </c>
      <c r="L18" s="41" t="s">
        <v>61</v>
      </c>
      <c r="M18" s="42" t="s">
        <v>62</v>
      </c>
      <c r="N18" s="170">
        <f>IF(Project!$B$27="Off Highway",0,1)</f>
        <v>1</v>
      </c>
      <c r="O18" s="237">
        <f>IF(Scoring!O18="A",0,Scoring!O18)</f>
        <v>0</v>
      </c>
      <c r="P18" s="144">
        <f>IF(Scoring!P18="A",0,Scoring!P18)</f>
        <v>0</v>
      </c>
      <c r="Q18" s="129">
        <f t="shared" si="0"/>
        <v>0</v>
      </c>
      <c r="R18" s="34">
        <f t="shared" si="1"/>
        <v>2</v>
      </c>
      <c r="S18" s="34">
        <f>IF($N18=0,0,Scoring!P18)</f>
        <v>0</v>
      </c>
      <c r="T18" s="34">
        <f t="shared" si="2"/>
        <v>2</v>
      </c>
      <c r="U18" s="35" t="e">
        <f>IF(VLOOKUP($H18,'How the score is generated (H)'!$B$4:$H$72,2,0)="ü",$Q18,0)</f>
        <v>#N/A</v>
      </c>
      <c r="V18" s="36" t="e">
        <f>IF(VLOOKUP($H18,'How the score is generated (H)'!$B$4:$H$72,2,0)="ü",$S18,0)</f>
        <v>#N/A</v>
      </c>
      <c r="W18" s="145" t="e">
        <f>IF($N18=0,0,IF(VLOOKUP($H18,'How the score is generated (H)'!$B$4:$H$72,2,0)="ü",2,0))</f>
        <v>#N/A</v>
      </c>
      <c r="X18" s="35" t="e">
        <f>IF(VLOOKUP($H18,'How the score is generated (H)'!$B$4:$H$72,3,0)="ü",$Q18,0)</f>
        <v>#N/A</v>
      </c>
      <c r="Y18" s="36" t="e">
        <f>IF(VLOOKUP($H18,'How the score is generated (H)'!$B$4:$H$72,3,0)="ü",$S18,0)</f>
        <v>#N/A</v>
      </c>
      <c r="Z18" s="145" t="e">
        <f>IF($N18=0,0,IF(VLOOKUP($H18,'How the score is generated (H)'!$B$4:$H$72,3,0)="ü",2,0))</f>
        <v>#N/A</v>
      </c>
      <c r="AA18" s="35" t="e">
        <f>IF(VLOOKUP($H18,'How the score is generated (H)'!$B$4:$H$72,4,0)="ü",$Q18,0)</f>
        <v>#N/A</v>
      </c>
      <c r="AB18" s="36" t="e">
        <f>IF(VLOOKUP($H18,'How the score is generated (H)'!$B$4:$H$72,4,0)="ü",$S18,0)</f>
        <v>#N/A</v>
      </c>
      <c r="AC18" s="145" t="e">
        <f>IF($N18=0,0,IF(VLOOKUP($H18,'How the score is generated (H)'!$B$4:$H$72,4,0)="ü",2,0))</f>
        <v>#N/A</v>
      </c>
      <c r="AD18" s="35" t="e">
        <f>IF(VLOOKUP($H18,'How the score is generated (H)'!$B$4:$H$72,5,0)="ü",$Q18,0)</f>
        <v>#N/A</v>
      </c>
      <c r="AE18" s="36" t="e">
        <f>IF(VLOOKUP($H18,'How the score is generated (H)'!$B$4:$H$72,5,0)="ü",$S18,0)</f>
        <v>#N/A</v>
      </c>
      <c r="AF18" s="145" t="e">
        <f>IF($N18=0,0,IF(VLOOKUP($H18,'How the score is generated (H)'!$B$4:$H$72,5,0)="ü",2,0))</f>
        <v>#N/A</v>
      </c>
      <c r="AG18" s="35" t="e">
        <f>IF(VLOOKUP($H18,'How the score is generated (H)'!$B$4:$H$72,6,0)="ü",$Q18,0)</f>
        <v>#N/A</v>
      </c>
      <c r="AH18" s="36" t="e">
        <f>IF(VLOOKUP($H18,'How the score is generated (H)'!$B$4:$H$72,6,0)="ü",$S18,0)</f>
        <v>#N/A</v>
      </c>
      <c r="AI18" s="145" t="e">
        <f>IF($N18=0,0,IF(VLOOKUP($H18,'How the score is generated (H)'!$B$4:$H$72,6,0)="ü",2,0))</f>
        <v>#N/A</v>
      </c>
      <c r="AJ18" s="35" t="e">
        <f>IF(VLOOKUP($H18,'How the score is generated (H)'!$B$4:$H$72,7,0)="ü",$Q18,0)</f>
        <v>#N/A</v>
      </c>
      <c r="AK18" s="36" t="e">
        <f>IF(VLOOKUP($H18,'How the score is generated (H)'!$B$4:$H$72,7,0)="ü",$S18,0)</f>
        <v>#N/A</v>
      </c>
      <c r="AL18" s="145" t="e">
        <f>IF($N18=0,0,IF(VLOOKUP($H18,'How the score is generated (H)'!$B$4:$H$72,7,0)="ü",2,0))</f>
        <v>#N/A</v>
      </c>
      <c r="AM18" s="35" t="e">
        <f>IF(VLOOKUP($H18,'How the score is generated (H)'!$B$4:$H$72,8,0)="ü",$Q18,0)</f>
        <v>#N/A</v>
      </c>
      <c r="AN18" s="36" t="e">
        <f>IF(VLOOKUP($H18,'How the score is generated (H)'!$B$4:$H$72,8,0)="ü",$S18,0)</f>
        <v>#N/A</v>
      </c>
      <c r="AO18" s="145" t="e">
        <f>IF($N18=0,0,IF(VLOOKUP($H18,'How the score is generated (H)'!$B$4:$H$72,8,0)="ü",2,0))</f>
        <v>#N/A</v>
      </c>
      <c r="AP18" s="23"/>
      <c r="AQ18" s="35" t="e">
        <f>IF(VLOOKUP($H18,'How the score is generated (P)'!$B$4:$I$72,2,0)="ü",$Q18,0)</f>
        <v>#N/A</v>
      </c>
      <c r="AR18" s="36" t="e">
        <f>IF(VLOOKUP($H18,'How the score is generated (P)'!$B$4:$I$72,2,0)="ü",$S18,0)</f>
        <v>#N/A</v>
      </c>
      <c r="AS18" s="145" t="e">
        <f>IF($N18=0,0,IF(VLOOKUP($H18,'How the score is generated (P)'!$B$4:$I$72,2,0)="ü",2,0))</f>
        <v>#N/A</v>
      </c>
      <c r="AT18" s="35" t="e">
        <f>IF(VLOOKUP($H18,'How the score is generated (P)'!$B$4:$I$72,3,0)="ü",$Q18,0)</f>
        <v>#N/A</v>
      </c>
      <c r="AU18" s="36" t="e">
        <f>IF(VLOOKUP($H18,'How the score is generated (P)'!$B$4:$I$72,3,0)="ü",$S18,0)</f>
        <v>#N/A</v>
      </c>
      <c r="AV18" s="145" t="e">
        <f>IF($N18=0,0,IF(VLOOKUP($H18,'How the score is generated (P)'!$B$4:$I$72,3,0)="ü",2,0))</f>
        <v>#N/A</v>
      </c>
      <c r="AW18" s="35" t="e">
        <f>IF(VLOOKUP($H18,'How the score is generated (P)'!$B$4:$I$72,4,0)="ü",$Q18,0)</f>
        <v>#N/A</v>
      </c>
      <c r="AX18" s="36" t="e">
        <f>IF(VLOOKUP($H18,'How the score is generated (P)'!$B$4:$I$72,4,0)="ü",$S18,0)</f>
        <v>#N/A</v>
      </c>
      <c r="AY18" s="145" t="e">
        <f>IF($N18=0,0,IF(VLOOKUP($H18,'How the score is generated (P)'!$B$4:$I$72,4,0)="ü",2,0))</f>
        <v>#N/A</v>
      </c>
      <c r="AZ18" s="35" t="e">
        <f>IF(VLOOKUP($H18,'How the score is generated (P)'!$B$4:$I$72,5,0)="ü",$Q18,0)</f>
        <v>#N/A</v>
      </c>
      <c r="BA18" s="36" t="e">
        <f>IF(VLOOKUP($H18,'How the score is generated (P)'!$B$4:$I$72,5,0)="ü",$S18,0)</f>
        <v>#N/A</v>
      </c>
      <c r="BB18" s="145" t="e">
        <f>IF($N18=0,0,IF(VLOOKUP($H18,'How the score is generated (P)'!$B$4:$I$72,5,0)="ü",2,0))</f>
        <v>#N/A</v>
      </c>
      <c r="BC18" s="35" t="e">
        <f>IF(VLOOKUP($H18,'How the score is generated (P)'!$B$4:$I$72,6,0)="ü",$Q18,0)</f>
        <v>#N/A</v>
      </c>
      <c r="BD18" s="36" t="e">
        <f>IF(VLOOKUP($H18,'How the score is generated (P)'!$B$4:$I$72,6,0)="ü",$S18,0)</f>
        <v>#N/A</v>
      </c>
      <c r="BE18" s="145" t="e">
        <f>IF($N18=0,0,IF(VLOOKUP($H18,'How the score is generated (P)'!$B$4:$I$72,6,0)="ü",2,0))</f>
        <v>#N/A</v>
      </c>
      <c r="BF18" s="35" t="e">
        <f>IF(VLOOKUP($H18,'How the score is generated (P)'!$B$4:$I$72,7,0)="ü",$Q18,0)</f>
        <v>#N/A</v>
      </c>
      <c r="BG18" s="36" t="e">
        <f>IF(VLOOKUP($H18,'How the score is generated (P)'!$B$4:$I$72,7,0)="ü",$S18,0)</f>
        <v>#N/A</v>
      </c>
      <c r="BH18" s="145" t="e">
        <f>IF($N18=0,0,IF(VLOOKUP($H18,'How the score is generated (P)'!$B$4:$I$72,7,0)="ü",2,0))</f>
        <v>#N/A</v>
      </c>
      <c r="BI18" s="35" t="e">
        <f>IF(VLOOKUP($H18,'How the score is generated (P)'!$B$4:$I$72,8,0)="ü",$Q18,0)</f>
        <v>#N/A</v>
      </c>
      <c r="BJ18" s="36" t="e">
        <f>IF(VLOOKUP($H18,'How the score is generated (P)'!$B$4:$I$72,8,0)="ü",$S18,0)</f>
        <v>#N/A</v>
      </c>
      <c r="BK18" s="145" t="e">
        <f>IF($N18=0,0,IF(VLOOKUP($H18,'How the score is generated (P)'!$B$4:$I$72,8,0)="ü",2,0))</f>
        <v>#N/A</v>
      </c>
      <c r="BL18" s="23"/>
      <c r="BM18" s="201"/>
      <c r="BN18" s="23"/>
      <c r="BO18" s="146"/>
      <c r="BT18" s="34"/>
      <c r="BU18" s="34" t="str">
        <f t="shared" si="3"/>
        <v/>
      </c>
      <c r="BV18" s="34">
        <f t="shared" si="4"/>
        <v>0</v>
      </c>
      <c r="BW18" s="34">
        <f t="shared" si="5"/>
        <v>0</v>
      </c>
      <c r="BX18" s="34" t="str">
        <f t="shared" si="6"/>
        <v>8. Delay to pedestrians at signal crossings</v>
      </c>
    </row>
    <row r="19" spans="1:76" ht="39.5" thickBot="1" x14ac:dyDescent="0.4">
      <c r="A19" s="23"/>
      <c r="B19" s="31"/>
      <c r="C19" s="43" t="s">
        <v>54</v>
      </c>
      <c r="D19" s="164">
        <f>D18+1</f>
        <v>9</v>
      </c>
      <c r="E19" s="44" t="s">
        <v>39</v>
      </c>
      <c r="F19" s="38" t="s">
        <v>43</v>
      </c>
      <c r="G19" s="39" t="s">
        <v>63</v>
      </c>
      <c r="H19" s="41" t="s">
        <v>63</v>
      </c>
      <c r="I19" s="272"/>
      <c r="J19" s="45"/>
      <c r="K19" s="41" t="s">
        <v>64</v>
      </c>
      <c r="L19" s="41" t="s">
        <v>65</v>
      </c>
      <c r="M19" s="42" t="s">
        <v>66</v>
      </c>
      <c r="N19" s="170">
        <f>IF(Project!$B$27="Off Highway",0,1)</f>
        <v>1</v>
      </c>
      <c r="O19" s="237">
        <f>IF(Scoring!O19="A",0,Scoring!O19)</f>
        <v>0</v>
      </c>
      <c r="P19" s="144">
        <f>IF(Scoring!P19="A",0,Scoring!P19)</f>
        <v>0</v>
      </c>
      <c r="Q19" s="129">
        <f t="shared" si="0"/>
        <v>0</v>
      </c>
      <c r="R19" s="34">
        <f t="shared" si="1"/>
        <v>2</v>
      </c>
      <c r="S19" s="34">
        <f>IF($N19=0,0,Scoring!P19)</f>
        <v>0</v>
      </c>
      <c r="T19" s="34">
        <f t="shared" si="2"/>
        <v>2</v>
      </c>
      <c r="U19" s="35" t="e">
        <f>IF(VLOOKUP($H19,'How the score is generated (H)'!$B$4:$H$72,2,0)="ü",$Q19,0)</f>
        <v>#N/A</v>
      </c>
      <c r="V19" s="36" t="e">
        <f>IF(VLOOKUP($H19,'How the score is generated (H)'!$B$4:$H$72,2,0)="ü",$S19,0)</f>
        <v>#N/A</v>
      </c>
      <c r="W19" s="145" t="e">
        <f>IF($N19=0,0,IF(VLOOKUP($H19,'How the score is generated (H)'!$B$4:$H$72,2,0)="ü",2,0))</f>
        <v>#N/A</v>
      </c>
      <c r="X19" s="35" t="e">
        <f>IF(VLOOKUP($H19,'How the score is generated (H)'!$B$4:$H$72,3,0)="ü",$Q19,0)</f>
        <v>#N/A</v>
      </c>
      <c r="Y19" s="36" t="e">
        <f>IF(VLOOKUP($H19,'How the score is generated (H)'!$B$4:$H$72,3,0)="ü",$S19,0)</f>
        <v>#N/A</v>
      </c>
      <c r="Z19" s="145" t="e">
        <f>IF($N19=0,0,IF(VLOOKUP($H19,'How the score is generated (H)'!$B$4:$H$72,3,0)="ü",2,0))</f>
        <v>#N/A</v>
      </c>
      <c r="AA19" s="35" t="e">
        <f>IF(VLOOKUP($H19,'How the score is generated (H)'!$B$4:$H$72,4,0)="ü",$Q19,0)</f>
        <v>#N/A</v>
      </c>
      <c r="AB19" s="36" t="e">
        <f>IF(VLOOKUP($H19,'How the score is generated (H)'!$B$4:$H$72,4,0)="ü",$S19,0)</f>
        <v>#N/A</v>
      </c>
      <c r="AC19" s="145" t="e">
        <f>IF($N19=0,0,IF(VLOOKUP($H19,'How the score is generated (H)'!$B$4:$H$72,4,0)="ü",2,0))</f>
        <v>#N/A</v>
      </c>
      <c r="AD19" s="35" t="e">
        <f>IF(VLOOKUP($H19,'How the score is generated (H)'!$B$4:$H$72,5,0)="ü",$Q19,0)</f>
        <v>#N/A</v>
      </c>
      <c r="AE19" s="36" t="e">
        <f>IF(VLOOKUP($H19,'How the score is generated (H)'!$B$4:$H$72,5,0)="ü",$S19,0)</f>
        <v>#N/A</v>
      </c>
      <c r="AF19" s="145" t="e">
        <f>IF($N19=0,0,IF(VLOOKUP($H19,'How the score is generated (H)'!$B$4:$H$72,5,0)="ü",2,0))</f>
        <v>#N/A</v>
      </c>
      <c r="AG19" s="35" t="e">
        <f>IF(VLOOKUP($H19,'How the score is generated (H)'!$B$4:$H$72,6,0)="ü",$Q19,0)</f>
        <v>#N/A</v>
      </c>
      <c r="AH19" s="36" t="e">
        <f>IF(VLOOKUP($H19,'How the score is generated (H)'!$B$4:$H$72,6,0)="ü",$S19,0)</f>
        <v>#N/A</v>
      </c>
      <c r="AI19" s="145" t="e">
        <f>IF($N19=0,0,IF(VLOOKUP($H19,'How the score is generated (H)'!$B$4:$H$72,6,0)="ü",2,0))</f>
        <v>#N/A</v>
      </c>
      <c r="AJ19" s="35" t="e">
        <f>IF(VLOOKUP($H19,'How the score is generated (H)'!$B$4:$H$72,7,0)="ü",$Q19,0)</f>
        <v>#N/A</v>
      </c>
      <c r="AK19" s="36" t="e">
        <f>IF(VLOOKUP($H19,'How the score is generated (H)'!$B$4:$H$72,7,0)="ü",$S19,0)</f>
        <v>#N/A</v>
      </c>
      <c r="AL19" s="145" t="e">
        <f>IF($N19=0,0,IF(VLOOKUP($H19,'How the score is generated (H)'!$B$4:$H$72,7,0)="ü",2,0))</f>
        <v>#N/A</v>
      </c>
      <c r="AM19" s="35" t="e">
        <f>IF(VLOOKUP($H19,'How the score is generated (H)'!$B$4:$H$72,8,0)="ü",$Q19,0)</f>
        <v>#N/A</v>
      </c>
      <c r="AN19" s="36" t="e">
        <f>IF(VLOOKUP($H19,'How the score is generated (H)'!$B$4:$H$72,8,0)="ü",$S19,0)</f>
        <v>#N/A</v>
      </c>
      <c r="AO19" s="145" t="e">
        <f>IF($N19=0,0,IF(VLOOKUP($H19,'How the score is generated (H)'!$B$4:$H$72,8,0)="ü",2,0))</f>
        <v>#N/A</v>
      </c>
      <c r="AP19" s="23"/>
      <c r="AQ19" s="35" t="e">
        <f>IF(VLOOKUP($H19,'How the score is generated (P)'!$B$4:$I$72,2,0)="ü",$Q19,0)</f>
        <v>#N/A</v>
      </c>
      <c r="AR19" s="36" t="e">
        <f>IF(VLOOKUP($H19,'How the score is generated (P)'!$B$4:$I$72,2,0)="ü",$S19,0)</f>
        <v>#N/A</v>
      </c>
      <c r="AS19" s="145" t="e">
        <f>IF($N19=0,0,IF(VLOOKUP($H19,'How the score is generated (P)'!$B$4:$I$72,2,0)="ü",2,0))</f>
        <v>#N/A</v>
      </c>
      <c r="AT19" s="35" t="e">
        <f>IF(VLOOKUP($H19,'How the score is generated (P)'!$B$4:$I$72,3,0)="ü",$Q19,0)</f>
        <v>#N/A</v>
      </c>
      <c r="AU19" s="36" t="e">
        <f>IF(VLOOKUP($H19,'How the score is generated (P)'!$B$4:$I$72,3,0)="ü",$S19,0)</f>
        <v>#N/A</v>
      </c>
      <c r="AV19" s="145" t="e">
        <f>IF($N19=0,0,IF(VLOOKUP($H19,'How the score is generated (P)'!$B$4:$I$72,3,0)="ü",2,0))</f>
        <v>#N/A</v>
      </c>
      <c r="AW19" s="35" t="e">
        <f>IF(VLOOKUP($H19,'How the score is generated (P)'!$B$4:$I$72,4,0)="ü",$Q19,0)</f>
        <v>#N/A</v>
      </c>
      <c r="AX19" s="36" t="e">
        <f>IF(VLOOKUP($H19,'How the score is generated (P)'!$B$4:$I$72,4,0)="ü",$S19,0)</f>
        <v>#N/A</v>
      </c>
      <c r="AY19" s="145" t="e">
        <f>IF($N19=0,0,IF(VLOOKUP($H19,'How the score is generated (P)'!$B$4:$I$72,4,0)="ü",2,0))</f>
        <v>#N/A</v>
      </c>
      <c r="AZ19" s="35" t="e">
        <f>IF(VLOOKUP($H19,'How the score is generated (P)'!$B$4:$I$72,5,0)="ü",$Q19,0)</f>
        <v>#N/A</v>
      </c>
      <c r="BA19" s="36" t="e">
        <f>IF(VLOOKUP($H19,'How the score is generated (P)'!$B$4:$I$72,5,0)="ü",$S19,0)</f>
        <v>#N/A</v>
      </c>
      <c r="BB19" s="145" t="e">
        <f>IF($N19=0,0,IF(VLOOKUP($H19,'How the score is generated (P)'!$B$4:$I$72,5,0)="ü",2,0))</f>
        <v>#N/A</v>
      </c>
      <c r="BC19" s="35" t="e">
        <f>IF(VLOOKUP($H19,'How the score is generated (P)'!$B$4:$I$72,6,0)="ü",$Q19,0)</f>
        <v>#N/A</v>
      </c>
      <c r="BD19" s="36" t="e">
        <f>IF(VLOOKUP($H19,'How the score is generated (P)'!$B$4:$I$72,6,0)="ü",$S19,0)</f>
        <v>#N/A</v>
      </c>
      <c r="BE19" s="145" t="e">
        <f>IF($N19=0,0,IF(VLOOKUP($H19,'How the score is generated (P)'!$B$4:$I$72,6,0)="ü",2,0))</f>
        <v>#N/A</v>
      </c>
      <c r="BF19" s="35" t="e">
        <f>IF(VLOOKUP($H19,'How the score is generated (P)'!$B$4:$I$72,7,0)="ü",$Q19,0)</f>
        <v>#N/A</v>
      </c>
      <c r="BG19" s="36" t="e">
        <f>IF(VLOOKUP($H19,'How the score is generated (P)'!$B$4:$I$72,7,0)="ü",$S19,0)</f>
        <v>#N/A</v>
      </c>
      <c r="BH19" s="145" t="e">
        <f>IF($N19=0,0,IF(VLOOKUP($H19,'How the score is generated (P)'!$B$4:$I$72,7,0)="ü",2,0))</f>
        <v>#N/A</v>
      </c>
      <c r="BI19" s="35" t="e">
        <f>IF(VLOOKUP($H19,'How the score is generated (P)'!$B$4:$I$72,8,0)="ü",$Q19,0)</f>
        <v>#N/A</v>
      </c>
      <c r="BJ19" s="36" t="e">
        <f>IF(VLOOKUP($H19,'How the score is generated (P)'!$B$4:$I$72,8,0)="ü",$S19,0)</f>
        <v>#N/A</v>
      </c>
      <c r="BK19" s="145" t="e">
        <f>IF($N19=0,0,IF(VLOOKUP($H19,'How the score is generated (P)'!$B$4:$I$72,8,0)="ü",2,0))</f>
        <v>#N/A</v>
      </c>
      <c r="BL19" s="23"/>
      <c r="BM19" s="201"/>
      <c r="BN19" s="23"/>
      <c r="BO19" s="146"/>
      <c r="BT19" s="34"/>
      <c r="BU19" s="34" t="str">
        <f t="shared" si="3"/>
        <v/>
      </c>
      <c r="BV19" s="34">
        <f t="shared" si="4"/>
        <v>0</v>
      </c>
      <c r="BW19" s="34">
        <f t="shared" si="5"/>
        <v>0</v>
      </c>
      <c r="BX19" s="34" t="str">
        <f t="shared" si="6"/>
        <v>9. Crossing speed</v>
      </c>
    </row>
    <row r="20" spans="1:76" ht="39.5" thickBot="1" x14ac:dyDescent="0.4">
      <c r="A20" s="23"/>
      <c r="B20" s="31"/>
      <c r="C20" s="43" t="s">
        <v>54</v>
      </c>
      <c r="D20" s="164">
        <f>D19+1</f>
        <v>10</v>
      </c>
      <c r="E20" s="44" t="s">
        <v>39</v>
      </c>
      <c r="F20" s="38" t="s">
        <v>43</v>
      </c>
      <c r="G20" s="39" t="s">
        <v>67</v>
      </c>
      <c r="H20" s="41" t="s">
        <v>544</v>
      </c>
      <c r="I20" s="272"/>
      <c r="J20" s="45"/>
      <c r="K20" s="41" t="s">
        <v>68</v>
      </c>
      <c r="L20" s="41" t="s">
        <v>69</v>
      </c>
      <c r="M20" s="42" t="s">
        <v>70</v>
      </c>
      <c r="N20" s="170">
        <f>IF(Project!$B$27="Off Highway",0,1)</f>
        <v>1</v>
      </c>
      <c r="O20" s="237">
        <f>IF(Scoring!O20="A",0,Scoring!O20)</f>
        <v>0</v>
      </c>
      <c r="P20" s="144">
        <f>IF(Scoring!P20="A",0,Scoring!P20)</f>
        <v>0</v>
      </c>
      <c r="Q20" s="129">
        <f t="shared" si="0"/>
        <v>0</v>
      </c>
      <c r="R20" s="34">
        <f t="shared" si="1"/>
        <v>2</v>
      </c>
      <c r="S20" s="34">
        <f>IF($N20=0,0,Scoring!P20)</f>
        <v>0</v>
      </c>
      <c r="T20" s="34">
        <f t="shared" si="2"/>
        <v>2</v>
      </c>
      <c r="U20" s="35" t="e">
        <f>IF(VLOOKUP($H20,'How the score is generated (H)'!$B$4:$H$72,2,0)="ü",$Q20,0)</f>
        <v>#N/A</v>
      </c>
      <c r="V20" s="36" t="e">
        <f>IF(VLOOKUP($H20,'How the score is generated (H)'!$B$4:$H$72,2,0)="ü",$S20,0)</f>
        <v>#N/A</v>
      </c>
      <c r="W20" s="145" t="e">
        <f>IF($N20=0,0,IF(VLOOKUP($H20,'How the score is generated (H)'!$B$4:$H$72,2,0)="ü",2,0))</f>
        <v>#N/A</v>
      </c>
      <c r="X20" s="35" t="e">
        <f>IF(VLOOKUP($H20,'How the score is generated (H)'!$B$4:$H$72,3,0)="ü",$Q20,0)</f>
        <v>#N/A</v>
      </c>
      <c r="Y20" s="36" t="e">
        <f>IF(VLOOKUP($H20,'How the score is generated (H)'!$B$4:$H$72,3,0)="ü",$S20,0)</f>
        <v>#N/A</v>
      </c>
      <c r="Z20" s="145" t="e">
        <f>IF($N20=0,0,IF(VLOOKUP($H20,'How the score is generated (H)'!$B$4:$H$72,3,0)="ü",2,0))</f>
        <v>#N/A</v>
      </c>
      <c r="AA20" s="35" t="e">
        <f>IF(VLOOKUP($H20,'How the score is generated (H)'!$B$4:$H$72,4,0)="ü",$Q20,0)</f>
        <v>#N/A</v>
      </c>
      <c r="AB20" s="36" t="e">
        <f>IF(VLOOKUP($H20,'How the score is generated (H)'!$B$4:$H$72,4,0)="ü",$S20,0)</f>
        <v>#N/A</v>
      </c>
      <c r="AC20" s="145" t="e">
        <f>IF($N20=0,0,IF(VLOOKUP($H20,'How the score is generated (H)'!$B$4:$H$72,4,0)="ü",2,0))</f>
        <v>#N/A</v>
      </c>
      <c r="AD20" s="35" t="e">
        <f>IF(VLOOKUP($H20,'How the score is generated (H)'!$B$4:$H$72,5,0)="ü",$Q20,0)</f>
        <v>#N/A</v>
      </c>
      <c r="AE20" s="36" t="e">
        <f>IF(VLOOKUP($H20,'How the score is generated (H)'!$B$4:$H$72,5,0)="ü",$S20,0)</f>
        <v>#N/A</v>
      </c>
      <c r="AF20" s="145" t="e">
        <f>IF($N20=0,0,IF(VLOOKUP($H20,'How the score is generated (H)'!$B$4:$H$72,5,0)="ü",2,0))</f>
        <v>#N/A</v>
      </c>
      <c r="AG20" s="35" t="e">
        <f>IF(VLOOKUP($H20,'How the score is generated (H)'!$B$4:$H$72,6,0)="ü",$Q20,0)</f>
        <v>#N/A</v>
      </c>
      <c r="AH20" s="36" t="e">
        <f>IF(VLOOKUP($H20,'How the score is generated (H)'!$B$4:$H$72,6,0)="ü",$S20,0)</f>
        <v>#N/A</v>
      </c>
      <c r="AI20" s="145" t="e">
        <f>IF($N20=0,0,IF(VLOOKUP($H20,'How the score is generated (H)'!$B$4:$H$72,6,0)="ü",2,0))</f>
        <v>#N/A</v>
      </c>
      <c r="AJ20" s="35" t="e">
        <f>IF(VLOOKUP($H20,'How the score is generated (H)'!$B$4:$H$72,7,0)="ü",$Q20,0)</f>
        <v>#N/A</v>
      </c>
      <c r="AK20" s="36" t="e">
        <f>IF(VLOOKUP($H20,'How the score is generated (H)'!$B$4:$H$72,7,0)="ü",$S20,0)</f>
        <v>#N/A</v>
      </c>
      <c r="AL20" s="145" t="e">
        <f>IF($N20=0,0,IF(VLOOKUP($H20,'How the score is generated (H)'!$B$4:$H$72,7,0)="ü",2,0))</f>
        <v>#N/A</v>
      </c>
      <c r="AM20" s="35" t="e">
        <f>IF(VLOOKUP($H20,'How the score is generated (H)'!$B$4:$H$72,8,0)="ü",$Q20,0)</f>
        <v>#N/A</v>
      </c>
      <c r="AN20" s="36" t="e">
        <f>IF(VLOOKUP($H20,'How the score is generated (H)'!$B$4:$H$72,8,0)="ü",$S20,0)</f>
        <v>#N/A</v>
      </c>
      <c r="AO20" s="145" t="e">
        <f>IF($N20=0,0,IF(VLOOKUP($H20,'How the score is generated (H)'!$B$4:$H$72,8,0)="ü",2,0))</f>
        <v>#N/A</v>
      </c>
      <c r="AP20" s="23"/>
      <c r="AQ20" s="35" t="e">
        <f>IF(VLOOKUP($H20,'How the score is generated (P)'!$B$4:$I$72,2,0)="ü",$Q20,0)</f>
        <v>#N/A</v>
      </c>
      <c r="AR20" s="36" t="e">
        <f>IF(VLOOKUP($H20,'How the score is generated (P)'!$B$4:$I$72,2,0)="ü",$S20,0)</f>
        <v>#N/A</v>
      </c>
      <c r="AS20" s="145" t="e">
        <f>IF($N20=0,0,IF(VLOOKUP($H20,'How the score is generated (P)'!$B$4:$I$72,2,0)="ü",2,0))</f>
        <v>#N/A</v>
      </c>
      <c r="AT20" s="35" t="e">
        <f>IF(VLOOKUP($H20,'How the score is generated (P)'!$B$4:$I$72,3,0)="ü",$Q20,0)</f>
        <v>#N/A</v>
      </c>
      <c r="AU20" s="36" t="e">
        <f>IF(VLOOKUP($H20,'How the score is generated (P)'!$B$4:$I$72,3,0)="ü",$S20,0)</f>
        <v>#N/A</v>
      </c>
      <c r="AV20" s="145" t="e">
        <f>IF($N20=0,0,IF(VLOOKUP($H20,'How the score is generated (P)'!$B$4:$I$72,3,0)="ü",2,0))</f>
        <v>#N/A</v>
      </c>
      <c r="AW20" s="35" t="e">
        <f>IF(VLOOKUP($H20,'How the score is generated (P)'!$B$4:$I$72,4,0)="ü",$Q20,0)</f>
        <v>#N/A</v>
      </c>
      <c r="AX20" s="36" t="e">
        <f>IF(VLOOKUP($H20,'How the score is generated (P)'!$B$4:$I$72,4,0)="ü",$S20,0)</f>
        <v>#N/A</v>
      </c>
      <c r="AY20" s="145" t="e">
        <f>IF($N20=0,0,IF(VLOOKUP($H20,'How the score is generated (P)'!$B$4:$I$72,4,0)="ü",2,0))</f>
        <v>#N/A</v>
      </c>
      <c r="AZ20" s="35" t="e">
        <f>IF(VLOOKUP($H20,'How the score is generated (P)'!$B$4:$I$72,5,0)="ü",$Q20,0)</f>
        <v>#N/A</v>
      </c>
      <c r="BA20" s="36" t="e">
        <f>IF(VLOOKUP($H20,'How the score is generated (P)'!$B$4:$I$72,5,0)="ü",$S20,0)</f>
        <v>#N/A</v>
      </c>
      <c r="BB20" s="145" t="e">
        <f>IF($N20=0,0,IF(VLOOKUP($H20,'How the score is generated (P)'!$B$4:$I$72,5,0)="ü",2,0))</f>
        <v>#N/A</v>
      </c>
      <c r="BC20" s="35" t="e">
        <f>IF(VLOOKUP($H20,'How the score is generated (P)'!$B$4:$I$72,6,0)="ü",$Q20,0)</f>
        <v>#N/A</v>
      </c>
      <c r="BD20" s="36" t="e">
        <f>IF(VLOOKUP($H20,'How the score is generated (P)'!$B$4:$I$72,6,0)="ü",$S20,0)</f>
        <v>#N/A</v>
      </c>
      <c r="BE20" s="145" t="e">
        <f>IF($N20=0,0,IF(VLOOKUP($H20,'How the score is generated (P)'!$B$4:$I$72,6,0)="ü",2,0))</f>
        <v>#N/A</v>
      </c>
      <c r="BF20" s="35" t="e">
        <f>IF(VLOOKUP($H20,'How the score is generated (P)'!$B$4:$I$72,7,0)="ü",$Q20,0)</f>
        <v>#N/A</v>
      </c>
      <c r="BG20" s="36" t="e">
        <f>IF(VLOOKUP($H20,'How the score is generated (P)'!$B$4:$I$72,7,0)="ü",$S20,0)</f>
        <v>#N/A</v>
      </c>
      <c r="BH20" s="145" t="e">
        <f>IF($N20=0,0,IF(VLOOKUP($H20,'How the score is generated (P)'!$B$4:$I$72,7,0)="ü",2,0))</f>
        <v>#N/A</v>
      </c>
      <c r="BI20" s="35" t="e">
        <f>IF(VLOOKUP($H20,'How the score is generated (P)'!$B$4:$I$72,8,0)="ü",$Q20,0)</f>
        <v>#N/A</v>
      </c>
      <c r="BJ20" s="36" t="e">
        <f>IF(VLOOKUP($H20,'How the score is generated (P)'!$B$4:$I$72,8,0)="ü",$S20,0)</f>
        <v>#N/A</v>
      </c>
      <c r="BK20" s="145" t="e">
        <f>IF($N20=0,0,IF(VLOOKUP($H20,'How the score is generated (P)'!$B$4:$I$72,8,0)="ü",2,0))</f>
        <v>#N/A</v>
      </c>
      <c r="BL20" s="23"/>
      <c r="BM20" s="201"/>
      <c r="BN20" s="23"/>
      <c r="BO20" s="146"/>
      <c r="BT20" s="34"/>
      <c r="BU20" s="34" t="str">
        <f t="shared" si="3"/>
        <v/>
      </c>
      <c r="BV20" s="34">
        <f t="shared" si="4"/>
        <v>0</v>
      </c>
      <c r="BW20" s="34">
        <f t="shared" si="5"/>
        <v>0</v>
      </c>
      <c r="BX20" s="34" t="str">
        <f t="shared" si="6"/>
        <v>10. Desire line crossings including attractor destinations such as schools and healthcare centres</v>
      </c>
    </row>
    <row r="21" spans="1:76" ht="87.75" customHeight="1" thickBot="1" x14ac:dyDescent="0.4">
      <c r="A21" s="23"/>
      <c r="B21" s="31"/>
      <c r="C21" s="43" t="s">
        <v>54</v>
      </c>
      <c r="D21" s="164">
        <f>D20+1</f>
        <v>11</v>
      </c>
      <c r="E21" s="44" t="s">
        <v>39</v>
      </c>
      <c r="F21" s="38" t="s">
        <v>43</v>
      </c>
      <c r="G21" s="39" t="s">
        <v>546</v>
      </c>
      <c r="H21" s="41" t="s">
        <v>545</v>
      </c>
      <c r="I21" s="272"/>
      <c r="J21" s="41"/>
      <c r="K21" s="41" t="s">
        <v>549</v>
      </c>
      <c r="L21" s="41" t="s">
        <v>548</v>
      </c>
      <c r="M21" s="42" t="s">
        <v>547</v>
      </c>
      <c r="N21" s="170">
        <f>IF(Project!$B$27="Off Highway",0,1)</f>
        <v>1</v>
      </c>
      <c r="O21" s="237">
        <f>IF(Scoring!O21="A",0,Scoring!O21)</f>
        <v>0</v>
      </c>
      <c r="P21" s="144">
        <f>IF(Scoring!P21="A",0,Scoring!P21)</f>
        <v>0</v>
      </c>
      <c r="Q21" s="129">
        <f t="shared" si="0"/>
        <v>0</v>
      </c>
      <c r="R21" s="34">
        <f t="shared" si="1"/>
        <v>2</v>
      </c>
      <c r="S21" s="34">
        <f>IF($N21=0,0,Scoring!P21)</f>
        <v>0</v>
      </c>
      <c r="T21" s="34">
        <f t="shared" si="2"/>
        <v>2</v>
      </c>
      <c r="U21" s="35" t="e">
        <f>IF(VLOOKUP($H21,'How the score is generated (H)'!$B$4:$H$72,2,0)="ü",$Q21,0)</f>
        <v>#N/A</v>
      </c>
      <c r="V21" s="36" t="e">
        <f>IF(VLOOKUP($H21,'How the score is generated (H)'!$B$4:$H$72,2,0)="ü",$S21,0)</f>
        <v>#N/A</v>
      </c>
      <c r="W21" s="145" t="e">
        <f>IF($N21=0,0,IF(VLOOKUP($H21,'How the score is generated (H)'!$B$4:$H$72,2,0)="ü",2,0))</f>
        <v>#N/A</v>
      </c>
      <c r="X21" s="35" t="e">
        <f>IF(VLOOKUP($H21,'How the score is generated (H)'!$B$4:$H$72,3,0)="ü",$Q21,0)</f>
        <v>#N/A</v>
      </c>
      <c r="Y21" s="36" t="e">
        <f>IF(VLOOKUP($H21,'How the score is generated (H)'!$B$4:$H$72,3,0)="ü",$S21,0)</f>
        <v>#N/A</v>
      </c>
      <c r="Z21" s="145" t="e">
        <f>IF($N21=0,0,IF(VLOOKUP($H21,'How the score is generated (H)'!$B$4:$H$72,3,0)="ü",2,0))</f>
        <v>#N/A</v>
      </c>
      <c r="AA21" s="35" t="e">
        <f>IF(VLOOKUP($H21,'How the score is generated (H)'!$B$4:$H$72,4,0)="ü",$Q21,0)</f>
        <v>#N/A</v>
      </c>
      <c r="AB21" s="36" t="e">
        <f>IF(VLOOKUP($H21,'How the score is generated (H)'!$B$4:$H$72,4,0)="ü",$S21,0)</f>
        <v>#N/A</v>
      </c>
      <c r="AC21" s="145" t="e">
        <f>IF($N21=0,0,IF(VLOOKUP($H21,'How the score is generated (H)'!$B$4:$H$72,4,0)="ü",2,0))</f>
        <v>#N/A</v>
      </c>
      <c r="AD21" s="35" t="e">
        <f>IF(VLOOKUP($H21,'How the score is generated (H)'!$B$4:$H$72,5,0)="ü",$Q21,0)</f>
        <v>#N/A</v>
      </c>
      <c r="AE21" s="36" t="e">
        <f>IF(VLOOKUP($H21,'How the score is generated (H)'!$B$4:$H$72,5,0)="ü",$S21,0)</f>
        <v>#N/A</v>
      </c>
      <c r="AF21" s="145" t="e">
        <f>IF($N21=0,0,IF(VLOOKUP($H21,'How the score is generated (H)'!$B$4:$H$72,5,0)="ü",2,0))</f>
        <v>#N/A</v>
      </c>
      <c r="AG21" s="35" t="e">
        <f>IF(VLOOKUP($H21,'How the score is generated (H)'!$B$4:$H$72,6,0)="ü",$Q21,0)</f>
        <v>#N/A</v>
      </c>
      <c r="AH21" s="36" t="e">
        <f>IF(VLOOKUP($H21,'How the score is generated (H)'!$B$4:$H$72,6,0)="ü",$S21,0)</f>
        <v>#N/A</v>
      </c>
      <c r="AI21" s="145" t="e">
        <f>IF($N21=0,0,IF(VLOOKUP($H21,'How the score is generated (H)'!$B$4:$H$72,6,0)="ü",2,0))</f>
        <v>#N/A</v>
      </c>
      <c r="AJ21" s="35" t="e">
        <f>IF(VLOOKUP($H21,'How the score is generated (H)'!$B$4:$H$72,7,0)="ü",$Q21,0)</f>
        <v>#N/A</v>
      </c>
      <c r="AK21" s="36" t="e">
        <f>IF(VLOOKUP($H21,'How the score is generated (H)'!$B$4:$H$72,7,0)="ü",$S21,0)</f>
        <v>#N/A</v>
      </c>
      <c r="AL21" s="145" t="e">
        <f>IF($N21=0,0,IF(VLOOKUP($H21,'How the score is generated (H)'!$B$4:$H$72,7,0)="ü",2,0))</f>
        <v>#N/A</v>
      </c>
      <c r="AM21" s="35" t="e">
        <f>IF(VLOOKUP($H21,'How the score is generated (H)'!$B$4:$H$72,8,0)="ü",$Q21,0)</f>
        <v>#N/A</v>
      </c>
      <c r="AN21" s="36" t="e">
        <f>IF(VLOOKUP($H21,'How the score is generated (H)'!$B$4:$H$72,8,0)="ü",$S21,0)</f>
        <v>#N/A</v>
      </c>
      <c r="AO21" s="145" t="e">
        <f>IF($N21=0,0,IF(VLOOKUP($H21,'How the score is generated (H)'!$B$4:$H$72,8,0)="ü",2,0))</f>
        <v>#N/A</v>
      </c>
      <c r="AP21" s="23"/>
      <c r="AQ21" s="35" t="e">
        <f>IF(VLOOKUP($H21,'How the score is generated (P)'!$B$4:$I$72,2,0)="ü",$Q21,0)</f>
        <v>#N/A</v>
      </c>
      <c r="AR21" s="36" t="e">
        <f>IF(VLOOKUP($H21,'How the score is generated (P)'!$B$4:$I$72,2,0)="ü",$S21,0)</f>
        <v>#N/A</v>
      </c>
      <c r="AS21" s="145" t="e">
        <f>IF($N21=0,0,IF(VLOOKUP($H21,'How the score is generated (P)'!$B$4:$I$72,2,0)="ü",2,0))</f>
        <v>#N/A</v>
      </c>
      <c r="AT21" s="35" t="e">
        <f>IF(VLOOKUP($H21,'How the score is generated (P)'!$B$4:$I$72,3,0)="ü",$Q21,0)</f>
        <v>#N/A</v>
      </c>
      <c r="AU21" s="36" t="e">
        <f>IF(VLOOKUP($H21,'How the score is generated (P)'!$B$4:$I$72,3,0)="ü",$S21,0)</f>
        <v>#N/A</v>
      </c>
      <c r="AV21" s="145" t="e">
        <f>IF($N21=0,0,IF(VLOOKUP($H21,'How the score is generated (P)'!$B$4:$I$72,3,0)="ü",2,0))</f>
        <v>#N/A</v>
      </c>
      <c r="AW21" s="35" t="e">
        <f>IF(VLOOKUP($H21,'How the score is generated (P)'!$B$4:$I$72,4,0)="ü",$Q21,0)</f>
        <v>#N/A</v>
      </c>
      <c r="AX21" s="36" t="e">
        <f>IF(VLOOKUP($H21,'How the score is generated (P)'!$B$4:$I$72,4,0)="ü",$S21,0)</f>
        <v>#N/A</v>
      </c>
      <c r="AY21" s="145" t="e">
        <f>IF($N21=0,0,IF(VLOOKUP($H21,'How the score is generated (P)'!$B$4:$I$72,4,0)="ü",2,0))</f>
        <v>#N/A</v>
      </c>
      <c r="AZ21" s="35" t="e">
        <f>IF(VLOOKUP($H21,'How the score is generated (P)'!$B$4:$I$72,5,0)="ü",$Q21,0)</f>
        <v>#N/A</v>
      </c>
      <c r="BA21" s="36" t="e">
        <f>IF(VLOOKUP($H21,'How the score is generated (P)'!$B$4:$I$72,5,0)="ü",$S21,0)</f>
        <v>#N/A</v>
      </c>
      <c r="BB21" s="145" t="e">
        <f>IF($N21=0,0,IF(VLOOKUP($H21,'How the score is generated (P)'!$B$4:$I$72,5,0)="ü",2,0))</f>
        <v>#N/A</v>
      </c>
      <c r="BC21" s="35" t="e">
        <f>IF(VLOOKUP($H21,'How the score is generated (P)'!$B$4:$I$72,6,0)="ü",$Q21,0)</f>
        <v>#N/A</v>
      </c>
      <c r="BD21" s="36" t="e">
        <f>IF(VLOOKUP($H21,'How the score is generated (P)'!$B$4:$I$72,6,0)="ü",$S21,0)</f>
        <v>#N/A</v>
      </c>
      <c r="BE21" s="145" t="e">
        <f>IF($N21=0,0,IF(VLOOKUP($H21,'How the score is generated (P)'!$B$4:$I$72,6,0)="ü",2,0))</f>
        <v>#N/A</v>
      </c>
      <c r="BF21" s="35" t="e">
        <f>IF(VLOOKUP($H21,'How the score is generated (P)'!$B$4:$I$72,7,0)="ü",$Q21,0)</f>
        <v>#N/A</v>
      </c>
      <c r="BG21" s="36" t="e">
        <f>IF(VLOOKUP($H21,'How the score is generated (P)'!$B$4:$I$72,7,0)="ü",$S21,0)</f>
        <v>#N/A</v>
      </c>
      <c r="BH21" s="145" t="e">
        <f>IF($N21=0,0,IF(VLOOKUP($H21,'How the score is generated (P)'!$B$4:$I$72,7,0)="ü",2,0))</f>
        <v>#N/A</v>
      </c>
      <c r="BI21" s="35" t="e">
        <f>IF(VLOOKUP($H21,'How the score is generated (P)'!$B$4:$I$72,8,0)="ü",$Q21,0)</f>
        <v>#N/A</v>
      </c>
      <c r="BJ21" s="36" t="e">
        <f>IF(VLOOKUP($H21,'How the score is generated (P)'!$B$4:$I$72,8,0)="ü",$S21,0)</f>
        <v>#N/A</v>
      </c>
      <c r="BK21" s="145" t="e">
        <f>IF($N21=0,0,IF(VLOOKUP($H21,'How the score is generated (P)'!$B$4:$I$72,8,0)="ü",2,0))</f>
        <v>#N/A</v>
      </c>
      <c r="BL21" s="23"/>
      <c r="BM21" s="201"/>
      <c r="BN21" s="23"/>
      <c r="BO21" s="276" t="s">
        <v>569</v>
      </c>
      <c r="BT21" s="34"/>
      <c r="BU21" s="34" t="str">
        <f t="shared" si="3"/>
        <v/>
      </c>
      <c r="BV21" s="34">
        <f t="shared" si="4"/>
        <v>0</v>
      </c>
      <c r="BW21" s="34">
        <f t="shared" si="5"/>
        <v>0</v>
      </c>
      <c r="BX21" s="34" t="str">
        <f t="shared" si="6"/>
        <v>11. Undulating footways at vehicle crossovers</v>
      </c>
    </row>
    <row r="22" spans="1:76" ht="15" thickBot="1" x14ac:dyDescent="0.4">
      <c r="A22" s="23"/>
      <c r="B22" s="31"/>
      <c r="C22" s="47"/>
      <c r="D22" s="47"/>
      <c r="E22" s="47"/>
      <c r="F22" s="47"/>
      <c r="G22" s="171" t="s">
        <v>54</v>
      </c>
      <c r="H22" s="172"/>
      <c r="I22" s="263"/>
      <c r="J22" s="172"/>
      <c r="K22" s="172"/>
      <c r="L22" s="172"/>
      <c r="M22" s="172"/>
      <c r="N22" s="48"/>
      <c r="O22" s="49" t="str">
        <f>Q22&amp;"/"&amp;R22</f>
        <v>0/12</v>
      </c>
      <c r="P22" s="50" t="str">
        <f>S22&amp;"/"&amp;T22</f>
        <v>0/12</v>
      </c>
      <c r="Q22" s="51">
        <f>SUM(Q16:Q21)</f>
        <v>0</v>
      </c>
      <c r="R22" s="51">
        <f>SUM(R16:R21)</f>
        <v>12</v>
      </c>
      <c r="S22" s="51">
        <f>SUM(S16:S21)</f>
        <v>0</v>
      </c>
      <c r="T22" s="51">
        <f>SUM(T16:T21)</f>
        <v>12</v>
      </c>
      <c r="U22" s="31"/>
      <c r="V22" s="56"/>
      <c r="W22" s="56"/>
      <c r="X22" s="31"/>
      <c r="Y22" s="56"/>
      <c r="Z22" s="56"/>
      <c r="AA22" s="31"/>
      <c r="AB22" s="56"/>
      <c r="AC22" s="56"/>
      <c r="AD22" s="31"/>
      <c r="AE22" s="56"/>
      <c r="AF22" s="56"/>
      <c r="AG22" s="31"/>
      <c r="AH22" s="56"/>
      <c r="AI22" s="56"/>
      <c r="AJ22" s="31"/>
      <c r="AK22" s="56"/>
      <c r="AL22" s="56"/>
      <c r="AM22" s="31"/>
      <c r="AN22" s="56"/>
      <c r="AO22" s="56"/>
      <c r="AP22" s="23"/>
      <c r="AQ22" s="31"/>
      <c r="AR22" s="56"/>
      <c r="AS22" s="56"/>
      <c r="AT22" s="31"/>
      <c r="AU22" s="56"/>
      <c r="AV22" s="56"/>
      <c r="AW22" s="31"/>
      <c r="AX22" s="56"/>
      <c r="AY22" s="56"/>
      <c r="AZ22" s="31"/>
      <c r="BA22" s="56"/>
      <c r="BB22" s="56"/>
      <c r="BC22" s="31"/>
      <c r="BD22" s="56"/>
      <c r="BE22" s="56"/>
      <c r="BF22" s="31"/>
      <c r="BG22" s="56"/>
      <c r="BH22" s="56"/>
      <c r="BI22" s="31"/>
      <c r="BJ22" s="56"/>
      <c r="BK22" s="56"/>
      <c r="BL22" s="23"/>
      <c r="BM22" s="23"/>
      <c r="BN22" s="23"/>
      <c r="BO22" s="23"/>
      <c r="BT22" s="51"/>
      <c r="BU22" s="51"/>
      <c r="BV22" s="51"/>
      <c r="BW22" s="51"/>
      <c r="BX22" s="51"/>
    </row>
    <row r="23" spans="1:76" ht="21.5" thickBot="1" x14ac:dyDescent="0.4">
      <c r="A23" s="23"/>
      <c r="B23" s="57"/>
      <c r="C23" s="58"/>
      <c r="D23" s="58"/>
      <c r="E23" s="58"/>
      <c r="F23" s="58"/>
      <c r="G23" s="59"/>
      <c r="H23" s="59"/>
      <c r="I23" s="264"/>
      <c r="J23" s="60"/>
      <c r="K23" s="61"/>
      <c r="L23" s="61"/>
      <c r="M23" s="61"/>
      <c r="N23" s="61"/>
      <c r="O23" s="61"/>
      <c r="P23" s="61"/>
      <c r="Q23" s="61"/>
      <c r="R23" s="61"/>
      <c r="S23" s="61"/>
      <c r="T23" s="61"/>
      <c r="U23" s="54"/>
      <c r="V23" s="23"/>
      <c r="W23" s="23"/>
      <c r="X23" s="54"/>
      <c r="Y23" s="23"/>
      <c r="Z23" s="23"/>
      <c r="AA23" s="54"/>
      <c r="AB23" s="23"/>
      <c r="AC23" s="23"/>
      <c r="AD23" s="54"/>
      <c r="AE23" s="23"/>
      <c r="AF23" s="23"/>
      <c r="AG23" s="54"/>
      <c r="AH23" s="23"/>
      <c r="AI23" s="23"/>
      <c r="AJ23" s="54"/>
      <c r="AK23" s="23"/>
      <c r="AL23" s="23"/>
      <c r="AM23" s="54"/>
      <c r="AN23" s="23"/>
      <c r="AO23" s="23"/>
      <c r="AP23" s="23"/>
      <c r="AQ23" s="54"/>
      <c r="AR23" s="23"/>
      <c r="AS23" s="23"/>
      <c r="AT23" s="54"/>
      <c r="AU23" s="23"/>
      <c r="AV23" s="23"/>
      <c r="AW23" s="54"/>
      <c r="AX23" s="23"/>
      <c r="AY23" s="23"/>
      <c r="AZ23" s="54"/>
      <c r="BA23" s="23"/>
      <c r="BB23" s="23"/>
      <c r="BC23" s="54"/>
      <c r="BD23" s="23"/>
      <c r="BE23" s="23"/>
      <c r="BF23" s="54"/>
      <c r="BG23" s="23"/>
      <c r="BH23" s="23"/>
      <c r="BI23" s="54"/>
      <c r="BJ23" s="23"/>
      <c r="BK23" s="23"/>
      <c r="BL23" s="23"/>
      <c r="BM23" s="23"/>
      <c r="BN23" s="23"/>
      <c r="BO23" s="23"/>
      <c r="BT23" s="61"/>
      <c r="BU23" s="61"/>
      <c r="BV23" s="61"/>
      <c r="BW23" s="61"/>
      <c r="BX23" s="61"/>
    </row>
    <row r="24" spans="1:76" ht="19" thickBot="1" x14ac:dyDescent="0.4">
      <c r="A24" s="23"/>
      <c r="B24" s="62"/>
      <c r="C24" s="63"/>
      <c r="D24" s="63"/>
      <c r="E24" s="63"/>
      <c r="F24" s="63"/>
      <c r="G24" s="522" t="s">
        <v>71</v>
      </c>
      <c r="H24" s="655"/>
      <c r="I24" s="655"/>
      <c r="J24" s="655"/>
      <c r="K24" s="655"/>
      <c r="L24" s="655"/>
      <c r="M24" s="656"/>
      <c r="N24" s="28"/>
      <c r="O24" s="29" t="s">
        <v>32</v>
      </c>
      <c r="P24" s="29" t="s">
        <v>33</v>
      </c>
      <c r="Q24" s="30"/>
      <c r="R24" s="30"/>
      <c r="S24" s="30"/>
      <c r="T24" s="30"/>
      <c r="U24" s="54"/>
      <c r="V24" s="23"/>
      <c r="W24" s="23"/>
      <c r="X24" s="54"/>
      <c r="Y24" s="23"/>
      <c r="Z24" s="23"/>
      <c r="AA24" s="54"/>
      <c r="AB24" s="23"/>
      <c r="AC24" s="23"/>
      <c r="AD24" s="54"/>
      <c r="AE24" s="23"/>
      <c r="AF24" s="23"/>
      <c r="AG24" s="54"/>
      <c r="AH24" s="23"/>
      <c r="AI24" s="23"/>
      <c r="AJ24" s="54"/>
      <c r="AK24" s="23"/>
      <c r="AL24" s="23"/>
      <c r="AM24" s="54"/>
      <c r="AN24" s="23"/>
      <c r="AO24" s="23"/>
      <c r="AP24" s="23"/>
      <c r="AQ24" s="54"/>
      <c r="AR24" s="23"/>
      <c r="AS24" s="23"/>
      <c r="AT24" s="54"/>
      <c r="AU24" s="23"/>
      <c r="AV24" s="23"/>
      <c r="AW24" s="54"/>
      <c r="AX24" s="23"/>
      <c r="AY24" s="23"/>
      <c r="AZ24" s="54"/>
      <c r="BA24" s="23"/>
      <c r="BB24" s="23"/>
      <c r="BC24" s="54"/>
      <c r="BD24" s="23"/>
      <c r="BE24" s="23"/>
      <c r="BF24" s="54"/>
      <c r="BG24" s="23"/>
      <c r="BH24" s="23"/>
      <c r="BI24" s="54"/>
      <c r="BJ24" s="23"/>
      <c r="BK24" s="23"/>
      <c r="BL24" s="23"/>
      <c r="BM24" s="23"/>
      <c r="BN24" s="23"/>
      <c r="BO24" s="23"/>
      <c r="BT24" s="30"/>
      <c r="BU24" s="30"/>
      <c r="BV24" s="30"/>
      <c r="BW24" s="30"/>
      <c r="BX24" s="30"/>
    </row>
    <row r="25" spans="1:76" ht="67.5" customHeight="1" thickBot="1" x14ac:dyDescent="0.4">
      <c r="A25" s="23"/>
      <c r="B25" s="31"/>
      <c r="C25" s="32" t="s">
        <v>72</v>
      </c>
      <c r="D25" s="163">
        <f>D21+1</f>
        <v>12</v>
      </c>
      <c r="E25" s="33" t="s">
        <v>39</v>
      </c>
      <c r="F25" s="197" t="s">
        <v>43</v>
      </c>
      <c r="G25" s="173" t="s">
        <v>73</v>
      </c>
      <c r="H25" s="174" t="s">
        <v>563</v>
      </c>
      <c r="I25" s="271" t="s">
        <v>565</v>
      </c>
      <c r="J25" s="175" t="s">
        <v>564</v>
      </c>
      <c r="K25" s="176" t="s">
        <v>568</v>
      </c>
      <c r="L25" s="176" t="s">
        <v>567</v>
      </c>
      <c r="M25" s="176" t="s">
        <v>566</v>
      </c>
      <c r="N25" s="170">
        <f>IF(Project!$B$27="Off Highway",0,1)</f>
        <v>1</v>
      </c>
      <c r="O25" s="237">
        <f>IF(Scoring!O25="A",0,Scoring!O25)</f>
        <v>0</v>
      </c>
      <c r="P25" s="144">
        <f>IF(Scoring!P25="A",0,Scoring!P25)</f>
        <v>0</v>
      </c>
      <c r="Q25" s="129">
        <f t="shared" ref="Q25:Q31" si="7">IF($N25=0,0,O25)</f>
        <v>0</v>
      </c>
      <c r="R25" s="34">
        <f t="shared" ref="R25:R31" si="8">IF($N25=0,0,2)</f>
        <v>2</v>
      </c>
      <c r="S25" s="34">
        <f>IF($N25=0,0,Scoring!P25)</f>
        <v>0</v>
      </c>
      <c r="T25" s="34">
        <f t="shared" ref="T25:T31" si="9">IF($N25=0,0,2)</f>
        <v>2</v>
      </c>
      <c r="U25" s="35">
        <f>IF(VLOOKUP($H25,'How the score is generated (H)'!$B$4:$H$72,2,0)="ü",$Q25,0)</f>
        <v>0</v>
      </c>
      <c r="V25" s="36">
        <f>IF(VLOOKUP($H25,'How the score is generated (H)'!$B$4:$H$72,2,0)="ü",$S25,0)</f>
        <v>0</v>
      </c>
      <c r="W25" s="145">
        <f>IF($N25=0,0,IF(VLOOKUP($H25,'How the score is generated (H)'!$B$4:$H$72,2,0)="ü",2,0))</f>
        <v>2</v>
      </c>
      <c r="X25" s="35">
        <f>IF(VLOOKUP($H25,'How the score is generated (H)'!$B$4:$H$72,3,0)="ü",$Q25,0)</f>
        <v>0</v>
      </c>
      <c r="Y25" s="36">
        <f>IF(VLOOKUP($H25,'How the score is generated (H)'!$B$4:$H$72,3,0)="ü",$S25,0)</f>
        <v>0</v>
      </c>
      <c r="Z25" s="145">
        <f>IF($N25=0,0,IF(VLOOKUP($H25,'How the score is generated (H)'!$B$4:$H$72,3,0)="ü",2,0))</f>
        <v>2</v>
      </c>
      <c r="AA25" s="35">
        <f>IF(VLOOKUP($H25,'How the score is generated (H)'!$B$4:$H$72,4,0)="ü",$Q25,0)</f>
        <v>0</v>
      </c>
      <c r="AB25" s="36">
        <f>IF(VLOOKUP($H25,'How the score is generated (H)'!$B$4:$H$72,4,0)="ü",$S25,0)</f>
        <v>0</v>
      </c>
      <c r="AC25" s="145">
        <f>IF($N25=0,0,IF(VLOOKUP($H25,'How the score is generated (H)'!$B$4:$H$72,4,0)="ü",2,0))</f>
        <v>0</v>
      </c>
      <c r="AD25" s="35">
        <f>IF(VLOOKUP($H25,'How the score is generated (H)'!$B$4:$H$72,5,0)="ü",$Q25,0)</f>
        <v>0</v>
      </c>
      <c r="AE25" s="36">
        <f>IF(VLOOKUP($H25,'How the score is generated (H)'!$B$4:$H$72,5,0)="ü",$S25,0)</f>
        <v>0</v>
      </c>
      <c r="AF25" s="145">
        <f>IF($N25=0,0,IF(VLOOKUP($H25,'How the score is generated (H)'!$B$4:$H$72,5,0)="ü",2,0))</f>
        <v>0</v>
      </c>
      <c r="AG25" s="35">
        <f>IF(VLOOKUP($H25,'How the score is generated (H)'!$B$4:$H$72,6,0)="ü",$Q25,0)</f>
        <v>0</v>
      </c>
      <c r="AH25" s="36">
        <f>IF(VLOOKUP($H25,'How the score is generated (H)'!$B$4:$H$72,6,0)="ü",$S25,0)</f>
        <v>0</v>
      </c>
      <c r="AI25" s="145">
        <f>IF($N25=0,0,IF(VLOOKUP($H25,'How the score is generated (H)'!$B$4:$H$72,6,0)="ü",2,0))</f>
        <v>2</v>
      </c>
      <c r="AJ25" s="35">
        <f>IF(VLOOKUP($H25,'How the score is generated (H)'!$B$4:$H$72,7,0)="ü",$Q25,0)</f>
        <v>0</v>
      </c>
      <c r="AK25" s="36">
        <f>IF(VLOOKUP($H25,'How the score is generated (H)'!$B$4:$H$72,7,0)="ü",$S25,0)</f>
        <v>0</v>
      </c>
      <c r="AL25" s="145">
        <f>IF($N25=0,0,IF(VLOOKUP($H25,'How the score is generated (H)'!$B$4:$H$72,7,0)="ü",2,0))</f>
        <v>0</v>
      </c>
      <c r="AM25" s="35" t="e">
        <f>IF(VLOOKUP($H25,'How the score is generated (H)'!$B$4:$H$72,8,0)="ü",$Q25,0)</f>
        <v>#REF!</v>
      </c>
      <c r="AN25" s="36" t="e">
        <f>IF(VLOOKUP($H25,'How the score is generated (H)'!$B$4:$H$72,8,0)="ü",$S25,0)</f>
        <v>#REF!</v>
      </c>
      <c r="AO25" s="145" t="e">
        <f>IF($N25=0,0,IF(VLOOKUP($H25,'How the score is generated (H)'!$B$4:$H$72,8,0)="ü",2,0))</f>
        <v>#REF!</v>
      </c>
      <c r="AP25" s="240"/>
      <c r="AQ25" s="35">
        <f>IF(VLOOKUP($H25,'How the score is generated (P)'!$B$4:$I$72,2,0)="ü",$Q25,0)</f>
        <v>0</v>
      </c>
      <c r="AR25" s="36">
        <f>IF(VLOOKUP($H25,'How the score is generated (P)'!$B$4:$I$72,2,0)="ü",$S25,0)</f>
        <v>0</v>
      </c>
      <c r="AS25" s="145">
        <f>IF($N25=0,0,IF(VLOOKUP($H25,'How the score is generated (P)'!$B$4:$I$72,2,0)="ü",2,0))</f>
        <v>0</v>
      </c>
      <c r="AT25" s="35">
        <f>IF(VLOOKUP($H25,'How the score is generated (P)'!$B$4:$I$72,3,0)="ü",$Q25,0)</f>
        <v>0</v>
      </c>
      <c r="AU25" s="36">
        <f>IF(VLOOKUP($H25,'How the score is generated (P)'!$B$4:$I$72,3,0)="ü",$S25,0)</f>
        <v>0</v>
      </c>
      <c r="AV25" s="145">
        <f>IF($N25=0,0,IF(VLOOKUP($H25,'How the score is generated (P)'!$B$4:$I$72,3,0)="ü",2,0))</f>
        <v>0</v>
      </c>
      <c r="AW25" s="35">
        <f>IF(VLOOKUP($H25,'How the score is generated (P)'!$B$4:$I$72,4,0)="ü",$Q25,0)</f>
        <v>0</v>
      </c>
      <c r="AX25" s="36">
        <f>IF(VLOOKUP($H25,'How the score is generated (P)'!$B$4:$I$72,4,0)="ü",$S25,0)</f>
        <v>0</v>
      </c>
      <c r="AY25" s="145">
        <f>IF($N25=0,0,IF(VLOOKUP($H25,'How the score is generated (P)'!$B$4:$I$72,4,0)="ü",2,0))</f>
        <v>2</v>
      </c>
      <c r="AZ25" s="35">
        <f>IF(VLOOKUP($H25,'How the score is generated (P)'!$B$4:$I$72,5,0)="ü",$Q25,0)</f>
        <v>0</v>
      </c>
      <c r="BA25" s="36">
        <f>IF(VLOOKUP($H25,'How the score is generated (P)'!$B$4:$I$72,5,0)="ü",$S25,0)</f>
        <v>0</v>
      </c>
      <c r="BB25" s="145">
        <f>IF($N25=0,0,IF(VLOOKUP($H25,'How the score is generated (P)'!$B$4:$I$72,5,0)="ü",2,0))</f>
        <v>2</v>
      </c>
      <c r="BC25" s="35">
        <f>IF(VLOOKUP($H25,'How the score is generated (P)'!$B$4:$I$72,6,0)="ü",$Q25,0)</f>
        <v>0</v>
      </c>
      <c r="BD25" s="36">
        <f>IF(VLOOKUP($H25,'How the score is generated (P)'!$B$4:$I$72,6,0)="ü",$S25,0)</f>
        <v>0</v>
      </c>
      <c r="BE25" s="145">
        <f>IF($N25=0,0,IF(VLOOKUP($H25,'How the score is generated (P)'!$B$4:$I$72,6,0)="ü",2,0))</f>
        <v>2</v>
      </c>
      <c r="BF25" s="35">
        <f>IF(VLOOKUP($H25,'How the score is generated (P)'!$B$4:$I$72,7,0)="ü",$Q25,0)</f>
        <v>0</v>
      </c>
      <c r="BG25" s="36">
        <f>IF(VLOOKUP($H25,'How the score is generated (P)'!$B$4:$I$72,7,0)="ü",$S25,0)</f>
        <v>0</v>
      </c>
      <c r="BH25" s="145">
        <f>IF($N25=0,0,IF(VLOOKUP($H25,'How the score is generated (P)'!$B$4:$I$72,7,0)="ü",2,0))</f>
        <v>2</v>
      </c>
      <c r="BI25" s="35">
        <f>IF(VLOOKUP($H25,'How the score is generated (P)'!$B$4:$I$72,8,0)="ü",$Q25,0)</f>
        <v>0</v>
      </c>
      <c r="BJ25" s="36">
        <f>IF(VLOOKUP($H25,'How the score is generated (P)'!$B$4:$I$72,8,0)="ü",$S25,0)</f>
        <v>0</v>
      </c>
      <c r="BK25" s="145">
        <f>IF($N25=0,0,IF(VLOOKUP($H25,'How the score is generated (P)'!$B$4:$I$72,8,0)="ü",2,0))</f>
        <v>0</v>
      </c>
      <c r="BL25" s="240"/>
      <c r="BM25" s="201"/>
      <c r="BN25" s="23"/>
      <c r="BO25" s="275"/>
      <c r="BT25" s="34"/>
      <c r="BU25" s="34" t="str">
        <f t="shared" ref="BU25:BU30" si="10">IF(BT25="Amber",IF(S25=0,"Residual Amber",""),"")</f>
        <v/>
      </c>
      <c r="BV25" s="34">
        <f t="shared" ref="BV25:BV30" si="11">IF(N25=0,"",IF(O25="","",O25))</f>
        <v>0</v>
      </c>
      <c r="BW25" s="34">
        <f t="shared" ref="BW25:BW30" si="12">IF(N25=0,"",IF(P25="","",P25))</f>
        <v>0</v>
      </c>
      <c r="BX25" s="34" t="str">
        <f t="shared" ref="BX25:BX30" si="13">D25&amp;". "&amp;H25</f>
        <v>12. Clear pedestrian routes that maintain minimum unobstructed width throughout</v>
      </c>
    </row>
    <row r="26" spans="1:76" ht="58.5" thickBot="1" x14ac:dyDescent="0.4">
      <c r="A26" s="23"/>
      <c r="B26" s="64"/>
      <c r="C26" s="65" t="s">
        <v>72</v>
      </c>
      <c r="D26" s="164">
        <f t="shared" ref="D26:D31" si="14">D25+1</f>
        <v>13</v>
      </c>
      <c r="E26" s="44" t="s">
        <v>39</v>
      </c>
      <c r="F26" s="168" t="s">
        <v>20</v>
      </c>
      <c r="G26" s="39" t="s">
        <v>74</v>
      </c>
      <c r="H26" s="41" t="s">
        <v>75</v>
      </c>
      <c r="I26" s="272"/>
      <c r="J26" s="40" t="s">
        <v>76</v>
      </c>
      <c r="K26" s="41" t="s">
        <v>77</v>
      </c>
      <c r="L26" s="41" t="s">
        <v>78</v>
      </c>
      <c r="M26" s="42" t="s">
        <v>79</v>
      </c>
      <c r="N26" s="170">
        <f>IF(Project!$B$27="Off Highway",0,1)</f>
        <v>1</v>
      </c>
      <c r="O26" s="237">
        <f>IF(Scoring!O26="A",0,Scoring!O26)</f>
        <v>0</v>
      </c>
      <c r="P26" s="144">
        <f>IF(Scoring!P26="A",0,Scoring!P26)</f>
        <v>0</v>
      </c>
      <c r="Q26" s="129">
        <f t="shared" si="7"/>
        <v>0</v>
      </c>
      <c r="R26" s="34">
        <f t="shared" si="8"/>
        <v>2</v>
      </c>
      <c r="S26" s="34">
        <f>IF($N26=0,0,Scoring!P26)</f>
        <v>0</v>
      </c>
      <c r="T26" s="34">
        <f t="shared" si="9"/>
        <v>2</v>
      </c>
      <c r="U26" s="35" t="e">
        <f>IF(VLOOKUP($H26,'How the score is generated (H)'!$B$4:$H$72,2,0)="ü",$Q26,0)</f>
        <v>#N/A</v>
      </c>
      <c r="V26" s="36" t="e">
        <f>IF(VLOOKUP($H26,'How the score is generated (H)'!$B$4:$H$72,2,0)="ü",$S26,0)</f>
        <v>#N/A</v>
      </c>
      <c r="W26" s="145" t="e">
        <f>IF($N26=0,0,IF(VLOOKUP($H26,'How the score is generated (H)'!$B$4:$H$72,2,0)="ü",2,0))</f>
        <v>#N/A</v>
      </c>
      <c r="X26" s="35" t="e">
        <f>IF(VLOOKUP($H26,'How the score is generated (H)'!$B$4:$H$72,3,0)="ü",$Q26,0)</f>
        <v>#N/A</v>
      </c>
      <c r="Y26" s="36" t="e">
        <f>IF(VLOOKUP($H26,'How the score is generated (H)'!$B$4:$H$72,3,0)="ü",$S26,0)</f>
        <v>#N/A</v>
      </c>
      <c r="Z26" s="145" t="e">
        <f>IF($N26=0,0,IF(VLOOKUP($H26,'How the score is generated (H)'!$B$4:$H$72,3,0)="ü",2,0))</f>
        <v>#N/A</v>
      </c>
      <c r="AA26" s="35" t="e">
        <f>IF(VLOOKUP($H26,'How the score is generated (H)'!$B$4:$H$72,4,0)="ü",$Q26,0)</f>
        <v>#N/A</v>
      </c>
      <c r="AB26" s="36" t="e">
        <f>IF(VLOOKUP($H26,'How the score is generated (H)'!$B$4:$H$72,4,0)="ü",$S26,0)</f>
        <v>#N/A</v>
      </c>
      <c r="AC26" s="145" t="e">
        <f>IF($N26=0,0,IF(VLOOKUP($H26,'How the score is generated (H)'!$B$4:$H$72,4,0)="ü",2,0))</f>
        <v>#N/A</v>
      </c>
      <c r="AD26" s="35" t="e">
        <f>IF(VLOOKUP($H26,'How the score is generated (H)'!$B$4:$H$72,5,0)="ü",$Q26,0)</f>
        <v>#N/A</v>
      </c>
      <c r="AE26" s="36" t="e">
        <f>IF(VLOOKUP($H26,'How the score is generated (H)'!$B$4:$H$72,5,0)="ü",$S26,0)</f>
        <v>#N/A</v>
      </c>
      <c r="AF26" s="145" t="e">
        <f>IF($N26=0,0,IF(VLOOKUP($H26,'How the score is generated (H)'!$B$4:$H$72,5,0)="ü",2,0))</f>
        <v>#N/A</v>
      </c>
      <c r="AG26" s="35" t="e">
        <f>IF(VLOOKUP($H26,'How the score is generated (H)'!$B$4:$H$72,6,0)="ü",$Q26,0)</f>
        <v>#N/A</v>
      </c>
      <c r="AH26" s="36" t="e">
        <f>IF(VLOOKUP($H26,'How the score is generated (H)'!$B$4:$H$72,6,0)="ü",$S26,0)</f>
        <v>#N/A</v>
      </c>
      <c r="AI26" s="145" t="e">
        <f>IF($N26=0,0,IF(VLOOKUP($H26,'How the score is generated (H)'!$B$4:$H$72,6,0)="ü",2,0))</f>
        <v>#N/A</v>
      </c>
      <c r="AJ26" s="35" t="e">
        <f>IF(VLOOKUP($H26,'How the score is generated (H)'!$B$4:$H$72,7,0)="ü",$Q26,0)</f>
        <v>#N/A</v>
      </c>
      <c r="AK26" s="36" t="e">
        <f>IF(VLOOKUP($H26,'How the score is generated (H)'!$B$4:$H$72,7,0)="ü",$S26,0)</f>
        <v>#N/A</v>
      </c>
      <c r="AL26" s="145" t="e">
        <f>IF($N26=0,0,IF(VLOOKUP($H26,'How the score is generated (H)'!$B$4:$H$72,7,0)="ü",2,0))</f>
        <v>#N/A</v>
      </c>
      <c r="AM26" s="35" t="e">
        <f>IF(VLOOKUP($H26,'How the score is generated (H)'!$B$4:$H$72,8,0)="ü",$Q26,0)</f>
        <v>#N/A</v>
      </c>
      <c r="AN26" s="36" t="e">
        <f>IF(VLOOKUP($H26,'How the score is generated (H)'!$B$4:$H$72,8,0)="ü",$S26,0)</f>
        <v>#N/A</v>
      </c>
      <c r="AO26" s="145" t="e">
        <f>IF($N26=0,0,IF(VLOOKUP($H26,'How the score is generated (H)'!$B$4:$H$72,8,0)="ü",2,0))</f>
        <v>#N/A</v>
      </c>
      <c r="AP26" s="240"/>
      <c r="AQ26" s="35" t="e">
        <f>IF(VLOOKUP($H26,'How the score is generated (P)'!$B$4:$I$72,2,0)="ü",$Q26,0)</f>
        <v>#N/A</v>
      </c>
      <c r="AR26" s="36" t="e">
        <f>IF(VLOOKUP($H26,'How the score is generated (P)'!$B$4:$I$72,2,0)="ü",$S26,0)</f>
        <v>#N/A</v>
      </c>
      <c r="AS26" s="145" t="e">
        <f>IF($N26=0,0,IF(VLOOKUP($H26,'How the score is generated (P)'!$B$4:$I$72,2,0)="ü",2,0))</f>
        <v>#N/A</v>
      </c>
      <c r="AT26" s="35" t="e">
        <f>IF(VLOOKUP($H26,'How the score is generated (P)'!$B$4:$I$72,3,0)="ü",$Q26,0)</f>
        <v>#N/A</v>
      </c>
      <c r="AU26" s="36" t="e">
        <f>IF(VLOOKUP($H26,'How the score is generated (P)'!$B$4:$I$72,3,0)="ü",$S26,0)</f>
        <v>#N/A</v>
      </c>
      <c r="AV26" s="145" t="e">
        <f>IF($N26=0,0,IF(VLOOKUP($H26,'How the score is generated (P)'!$B$4:$I$72,3,0)="ü",2,0))</f>
        <v>#N/A</v>
      </c>
      <c r="AW26" s="35" t="e">
        <f>IF(VLOOKUP($H26,'How the score is generated (P)'!$B$4:$I$72,4,0)="ü",$Q26,0)</f>
        <v>#N/A</v>
      </c>
      <c r="AX26" s="36" t="e">
        <f>IF(VLOOKUP($H26,'How the score is generated (P)'!$B$4:$I$72,4,0)="ü",$S26,0)</f>
        <v>#N/A</v>
      </c>
      <c r="AY26" s="145" t="e">
        <f>IF($N26=0,0,IF(VLOOKUP($H26,'How the score is generated (P)'!$B$4:$I$72,4,0)="ü",2,0))</f>
        <v>#N/A</v>
      </c>
      <c r="AZ26" s="35" t="e">
        <f>IF(VLOOKUP($H26,'How the score is generated (P)'!$B$4:$I$72,5,0)="ü",$Q26,0)</f>
        <v>#N/A</v>
      </c>
      <c r="BA26" s="36" t="e">
        <f>IF(VLOOKUP($H26,'How the score is generated (P)'!$B$4:$I$72,5,0)="ü",$S26,0)</f>
        <v>#N/A</v>
      </c>
      <c r="BB26" s="145" t="e">
        <f>IF($N26=0,0,IF(VLOOKUP($H26,'How the score is generated (P)'!$B$4:$I$72,5,0)="ü",2,0))</f>
        <v>#N/A</v>
      </c>
      <c r="BC26" s="35" t="e">
        <f>IF(VLOOKUP($H26,'How the score is generated (P)'!$B$4:$I$72,6,0)="ü",$Q26,0)</f>
        <v>#N/A</v>
      </c>
      <c r="BD26" s="36" t="e">
        <f>IF(VLOOKUP($H26,'How the score is generated (P)'!$B$4:$I$72,6,0)="ü",$S26,0)</f>
        <v>#N/A</v>
      </c>
      <c r="BE26" s="145" t="e">
        <f>IF($N26=0,0,IF(VLOOKUP($H26,'How the score is generated (P)'!$B$4:$I$72,6,0)="ü",2,0))</f>
        <v>#N/A</v>
      </c>
      <c r="BF26" s="35" t="e">
        <f>IF(VLOOKUP($H26,'How the score is generated (P)'!$B$4:$I$72,7,0)="ü",$Q26,0)</f>
        <v>#N/A</v>
      </c>
      <c r="BG26" s="36" t="e">
        <f>IF(VLOOKUP($H26,'How the score is generated (P)'!$B$4:$I$72,7,0)="ü",$S26,0)</f>
        <v>#N/A</v>
      </c>
      <c r="BH26" s="145" t="e">
        <f>IF($N26=0,0,IF(VLOOKUP($H26,'How the score is generated (P)'!$B$4:$I$72,7,0)="ü",2,0))</f>
        <v>#N/A</v>
      </c>
      <c r="BI26" s="35" t="e">
        <f>IF(VLOOKUP($H26,'How the score is generated (P)'!$B$4:$I$72,8,0)="ü",$Q26,0)</f>
        <v>#N/A</v>
      </c>
      <c r="BJ26" s="36" t="e">
        <f>IF(VLOOKUP($H26,'How the score is generated (P)'!$B$4:$I$72,8,0)="ü",$S26,0)</f>
        <v>#N/A</v>
      </c>
      <c r="BK26" s="145" t="e">
        <f>IF($N26=0,0,IF(VLOOKUP($H26,'How the score is generated (P)'!$B$4:$I$72,8,0)="ü",2,0))</f>
        <v>#N/A</v>
      </c>
      <c r="BL26" s="240"/>
      <c r="BM26" s="201"/>
      <c r="BN26" s="23"/>
      <c r="BO26" s="276" t="s">
        <v>494</v>
      </c>
      <c r="BT26" s="34"/>
      <c r="BU26" s="34" t="str">
        <f t="shared" si="10"/>
        <v/>
      </c>
      <c r="BV26" s="34">
        <f t="shared" si="11"/>
        <v>0</v>
      </c>
      <c r="BW26" s="34">
        <f t="shared" si="12"/>
        <v>0</v>
      </c>
      <c r="BX26" s="34" t="str">
        <f t="shared" si="13"/>
        <v>13. Trip hazard and surface quality</v>
      </c>
    </row>
    <row r="27" spans="1:76" ht="68.25" customHeight="1" thickBot="1" x14ac:dyDescent="0.4">
      <c r="A27" s="23"/>
      <c r="B27" s="31"/>
      <c r="C27" s="66" t="s">
        <v>72</v>
      </c>
      <c r="D27" s="164">
        <f t="shared" si="14"/>
        <v>14</v>
      </c>
      <c r="E27" s="44" t="s">
        <v>39</v>
      </c>
      <c r="F27" s="168" t="s">
        <v>20</v>
      </c>
      <c r="G27" s="39" t="s">
        <v>80</v>
      </c>
      <c r="H27" s="41" t="s">
        <v>81</v>
      </c>
      <c r="I27" s="272"/>
      <c r="J27" s="40" t="s">
        <v>501</v>
      </c>
      <c r="K27" s="41" t="s">
        <v>82</v>
      </c>
      <c r="L27" s="41" t="s">
        <v>83</v>
      </c>
      <c r="M27" s="42" t="s">
        <v>84</v>
      </c>
      <c r="N27" s="170">
        <f>IF(Project!$B$27="Off Highway",0,1)</f>
        <v>1</v>
      </c>
      <c r="O27" s="237">
        <f>IF(Scoring!O27="A",0,Scoring!O27)</f>
        <v>0</v>
      </c>
      <c r="P27" s="144">
        <f>IF(Scoring!P27="A",0,Scoring!P27)</f>
        <v>0</v>
      </c>
      <c r="Q27" s="129">
        <f t="shared" si="7"/>
        <v>0</v>
      </c>
      <c r="R27" s="34">
        <f t="shared" si="8"/>
        <v>2</v>
      </c>
      <c r="S27" s="34">
        <f>IF($N27=0,0,Scoring!P27)</f>
        <v>0</v>
      </c>
      <c r="T27" s="34">
        <f t="shared" si="9"/>
        <v>2</v>
      </c>
      <c r="U27" s="35" t="e">
        <f>IF(VLOOKUP($H27,'How the score is generated (H)'!$B$4:$H$72,2,0)="ü",$Q27,0)</f>
        <v>#N/A</v>
      </c>
      <c r="V27" s="36" t="e">
        <f>IF(VLOOKUP($H27,'How the score is generated (H)'!$B$4:$H$72,2,0)="ü",$S27,0)</f>
        <v>#N/A</v>
      </c>
      <c r="W27" s="145" t="e">
        <f>IF($N27=0,0,IF(VLOOKUP($H27,'How the score is generated (H)'!$B$4:$H$72,2,0)="ü",2,0))</f>
        <v>#N/A</v>
      </c>
      <c r="X27" s="35" t="e">
        <f>IF(VLOOKUP($H27,'How the score is generated (H)'!$B$4:$H$72,3,0)="ü",$Q27,0)</f>
        <v>#N/A</v>
      </c>
      <c r="Y27" s="36" t="e">
        <f>IF(VLOOKUP($H27,'How the score is generated (H)'!$B$4:$H$72,3,0)="ü",$S27,0)</f>
        <v>#N/A</v>
      </c>
      <c r="Z27" s="145" t="e">
        <f>IF($N27=0,0,IF(VLOOKUP($H27,'How the score is generated (H)'!$B$4:$H$72,3,0)="ü",2,0))</f>
        <v>#N/A</v>
      </c>
      <c r="AA27" s="35" t="e">
        <f>IF(VLOOKUP($H27,'How the score is generated (H)'!$B$4:$H$72,4,0)="ü",$Q27,0)</f>
        <v>#N/A</v>
      </c>
      <c r="AB27" s="36" t="e">
        <f>IF(VLOOKUP($H27,'How the score is generated (H)'!$B$4:$H$72,4,0)="ü",$S27,0)</f>
        <v>#N/A</v>
      </c>
      <c r="AC27" s="145" t="e">
        <f>IF($N27=0,0,IF(VLOOKUP($H27,'How the score is generated (H)'!$B$4:$H$72,4,0)="ü",2,0))</f>
        <v>#N/A</v>
      </c>
      <c r="AD27" s="35" t="e">
        <f>IF(VLOOKUP($H27,'How the score is generated (H)'!$B$4:$H$72,5,0)="ü",$Q27,0)</f>
        <v>#N/A</v>
      </c>
      <c r="AE27" s="36" t="e">
        <f>IF(VLOOKUP($H27,'How the score is generated (H)'!$B$4:$H$72,5,0)="ü",$S27,0)</f>
        <v>#N/A</v>
      </c>
      <c r="AF27" s="145" t="e">
        <f>IF($N27=0,0,IF(VLOOKUP($H27,'How the score is generated (H)'!$B$4:$H$72,5,0)="ü",2,0))</f>
        <v>#N/A</v>
      </c>
      <c r="AG27" s="35" t="e">
        <f>IF(VLOOKUP($H27,'How the score is generated (H)'!$B$4:$H$72,6,0)="ü",$Q27,0)</f>
        <v>#N/A</v>
      </c>
      <c r="AH27" s="36" t="e">
        <f>IF(VLOOKUP($H27,'How the score is generated (H)'!$B$4:$H$72,6,0)="ü",$S27,0)</f>
        <v>#N/A</v>
      </c>
      <c r="AI27" s="145" t="e">
        <f>IF($N27=0,0,IF(VLOOKUP($H27,'How the score is generated (H)'!$B$4:$H$72,6,0)="ü",2,0))</f>
        <v>#N/A</v>
      </c>
      <c r="AJ27" s="35" t="e">
        <f>IF(VLOOKUP($H27,'How the score is generated (H)'!$B$4:$H$72,7,0)="ü",$Q27,0)</f>
        <v>#N/A</v>
      </c>
      <c r="AK27" s="36" t="e">
        <f>IF(VLOOKUP($H27,'How the score is generated (H)'!$B$4:$H$72,7,0)="ü",$S27,0)</f>
        <v>#N/A</v>
      </c>
      <c r="AL27" s="145" t="e">
        <f>IF($N27=0,0,IF(VLOOKUP($H27,'How the score is generated (H)'!$B$4:$H$72,7,0)="ü",2,0))</f>
        <v>#N/A</v>
      </c>
      <c r="AM27" s="35" t="e">
        <f>IF(VLOOKUP($H27,'How the score is generated (H)'!$B$4:$H$72,8,0)="ü",$Q27,0)</f>
        <v>#N/A</v>
      </c>
      <c r="AN27" s="36" t="e">
        <f>IF(VLOOKUP($H27,'How the score is generated (H)'!$B$4:$H$72,8,0)="ü",$S27,0)</f>
        <v>#N/A</v>
      </c>
      <c r="AO27" s="145" t="e">
        <f>IF($N27=0,0,IF(VLOOKUP($H27,'How the score is generated (H)'!$B$4:$H$72,8,0)="ü",2,0))</f>
        <v>#N/A</v>
      </c>
      <c r="AP27" s="240"/>
      <c r="AQ27" s="35" t="e">
        <f>IF(VLOOKUP($H27,'How the score is generated (P)'!$B$4:$I$72,2,0)="ü",$Q27,0)</f>
        <v>#N/A</v>
      </c>
      <c r="AR27" s="36" t="e">
        <f>IF(VLOOKUP($H27,'How the score is generated (P)'!$B$4:$I$72,2,0)="ü",$S27,0)</f>
        <v>#N/A</v>
      </c>
      <c r="AS27" s="145" t="e">
        <f>IF($N27=0,0,IF(VLOOKUP($H27,'How the score is generated (P)'!$B$4:$I$72,2,0)="ü",2,0))</f>
        <v>#N/A</v>
      </c>
      <c r="AT27" s="35" t="e">
        <f>IF(VLOOKUP($H27,'How the score is generated (P)'!$B$4:$I$72,3,0)="ü",$Q27,0)</f>
        <v>#N/A</v>
      </c>
      <c r="AU27" s="36" t="e">
        <f>IF(VLOOKUP($H27,'How the score is generated (P)'!$B$4:$I$72,3,0)="ü",$S27,0)</f>
        <v>#N/A</v>
      </c>
      <c r="AV27" s="145" t="e">
        <f>IF($N27=0,0,IF(VLOOKUP($H27,'How the score is generated (P)'!$B$4:$I$72,3,0)="ü",2,0))</f>
        <v>#N/A</v>
      </c>
      <c r="AW27" s="35" t="e">
        <f>IF(VLOOKUP($H27,'How the score is generated (P)'!$B$4:$I$72,4,0)="ü",$Q27,0)</f>
        <v>#N/A</v>
      </c>
      <c r="AX27" s="36" t="e">
        <f>IF(VLOOKUP($H27,'How the score is generated (P)'!$B$4:$I$72,4,0)="ü",$S27,0)</f>
        <v>#N/A</v>
      </c>
      <c r="AY27" s="145" t="e">
        <f>IF($N27=0,0,IF(VLOOKUP($H27,'How the score is generated (P)'!$B$4:$I$72,4,0)="ü",2,0))</f>
        <v>#N/A</v>
      </c>
      <c r="AZ27" s="35" t="e">
        <f>IF(VLOOKUP($H27,'How the score is generated (P)'!$B$4:$I$72,5,0)="ü",$Q27,0)</f>
        <v>#N/A</v>
      </c>
      <c r="BA27" s="36" t="e">
        <f>IF(VLOOKUP($H27,'How the score is generated (P)'!$B$4:$I$72,5,0)="ü",$S27,0)</f>
        <v>#N/A</v>
      </c>
      <c r="BB27" s="145" t="e">
        <f>IF($N27=0,0,IF(VLOOKUP($H27,'How the score is generated (P)'!$B$4:$I$72,5,0)="ü",2,0))</f>
        <v>#N/A</v>
      </c>
      <c r="BC27" s="35" t="e">
        <f>IF(VLOOKUP($H27,'How the score is generated (P)'!$B$4:$I$72,6,0)="ü",$Q27,0)</f>
        <v>#N/A</v>
      </c>
      <c r="BD27" s="36" t="e">
        <f>IF(VLOOKUP($H27,'How the score is generated (P)'!$B$4:$I$72,6,0)="ü",$S27,0)</f>
        <v>#N/A</v>
      </c>
      <c r="BE27" s="145" t="e">
        <f>IF($N27=0,0,IF(VLOOKUP($H27,'How the score is generated (P)'!$B$4:$I$72,6,0)="ü",2,0))</f>
        <v>#N/A</v>
      </c>
      <c r="BF27" s="35" t="e">
        <f>IF(VLOOKUP($H27,'How the score is generated (P)'!$B$4:$I$72,7,0)="ü",$Q27,0)</f>
        <v>#N/A</v>
      </c>
      <c r="BG27" s="36" t="e">
        <f>IF(VLOOKUP($H27,'How the score is generated (P)'!$B$4:$I$72,7,0)="ü",$S27,0)</f>
        <v>#N/A</v>
      </c>
      <c r="BH27" s="145" t="e">
        <f>IF($N27=0,0,IF(VLOOKUP($H27,'How the score is generated (P)'!$B$4:$I$72,7,0)="ü",2,0))</f>
        <v>#N/A</v>
      </c>
      <c r="BI27" s="35" t="e">
        <f>IF(VLOOKUP($H27,'How the score is generated (P)'!$B$4:$I$72,8,0)="ü",$Q27,0)</f>
        <v>#N/A</v>
      </c>
      <c r="BJ27" s="36" t="e">
        <f>IF(VLOOKUP($H27,'How the score is generated (P)'!$B$4:$I$72,8,0)="ü",$S27,0)</f>
        <v>#N/A</v>
      </c>
      <c r="BK27" s="145" t="e">
        <f>IF($N27=0,0,IF(VLOOKUP($H27,'How the score is generated (P)'!$B$4:$I$72,8,0)="ü",2,0))</f>
        <v>#N/A</v>
      </c>
      <c r="BL27" s="240"/>
      <c r="BM27" s="202" t="s">
        <v>85</v>
      </c>
      <c r="BN27" s="23"/>
      <c r="BO27" s="146"/>
      <c r="BT27" s="34"/>
      <c r="BU27" s="34" t="str">
        <f t="shared" si="10"/>
        <v/>
      </c>
      <c r="BV27" s="34">
        <f t="shared" si="11"/>
        <v>0</v>
      </c>
      <c r="BW27" s="34">
        <f t="shared" si="12"/>
        <v>0</v>
      </c>
      <c r="BX27" s="34" t="str">
        <f t="shared" si="13"/>
        <v>14. Uphill gradient over a specified distance on a ramps and structures</v>
      </c>
    </row>
    <row r="28" spans="1:76" ht="39.5" thickBot="1" x14ac:dyDescent="0.4">
      <c r="A28" s="23"/>
      <c r="B28" s="31"/>
      <c r="C28" s="66" t="s">
        <v>72</v>
      </c>
      <c r="D28" s="164">
        <f t="shared" si="14"/>
        <v>15</v>
      </c>
      <c r="E28" s="44" t="s">
        <v>39</v>
      </c>
      <c r="F28" s="198" t="s">
        <v>43</v>
      </c>
      <c r="G28" s="39" t="s">
        <v>86</v>
      </c>
      <c r="H28" s="41" t="s">
        <v>502</v>
      </c>
      <c r="I28" s="272"/>
      <c r="J28" s="45"/>
      <c r="K28" s="41" t="s">
        <v>87</v>
      </c>
      <c r="L28" s="41" t="s">
        <v>88</v>
      </c>
      <c r="M28" s="42" t="s">
        <v>89</v>
      </c>
      <c r="N28" s="170">
        <f>IF(Project!$B$27="Off Highway",0,1)</f>
        <v>1</v>
      </c>
      <c r="O28" s="237">
        <f>IF(Scoring!O28="A",0,Scoring!O28)</f>
        <v>0</v>
      </c>
      <c r="P28" s="144">
        <f>IF(Scoring!P28="A",0,Scoring!P28)</f>
        <v>0</v>
      </c>
      <c r="Q28" s="129">
        <f t="shared" si="7"/>
        <v>0</v>
      </c>
      <c r="R28" s="34">
        <f t="shared" si="8"/>
        <v>2</v>
      </c>
      <c r="S28" s="34">
        <f>IF($N28=0,0,Scoring!P28)</f>
        <v>0</v>
      </c>
      <c r="T28" s="34">
        <f t="shared" si="9"/>
        <v>2</v>
      </c>
      <c r="U28" s="35" t="e">
        <f>IF(VLOOKUP($H28,'How the score is generated (H)'!$B$4:$H$72,2,0)="ü",$Q28,0)</f>
        <v>#N/A</v>
      </c>
      <c r="V28" s="36" t="e">
        <f>IF(VLOOKUP($H28,'How the score is generated (H)'!$B$4:$H$72,2,0)="ü",$S28,0)</f>
        <v>#N/A</v>
      </c>
      <c r="W28" s="145" t="e">
        <f>IF($N28=0,0,IF(VLOOKUP($H28,'How the score is generated (H)'!$B$4:$H$72,2,0)="ü",2,0))</f>
        <v>#N/A</v>
      </c>
      <c r="X28" s="35" t="e">
        <f>IF(VLOOKUP($H28,'How the score is generated (H)'!$B$4:$H$72,3,0)="ü",$Q28,0)</f>
        <v>#N/A</v>
      </c>
      <c r="Y28" s="36" t="e">
        <f>IF(VLOOKUP($H28,'How the score is generated (H)'!$B$4:$H$72,3,0)="ü",$S28,0)</f>
        <v>#N/A</v>
      </c>
      <c r="Z28" s="145" t="e">
        <f>IF($N28=0,0,IF(VLOOKUP($H28,'How the score is generated (H)'!$B$4:$H$72,3,0)="ü",2,0))</f>
        <v>#N/A</v>
      </c>
      <c r="AA28" s="35" t="e">
        <f>IF(VLOOKUP($H28,'How the score is generated (H)'!$B$4:$H$72,4,0)="ü",$Q28,0)</f>
        <v>#N/A</v>
      </c>
      <c r="AB28" s="36" t="e">
        <f>IF(VLOOKUP($H28,'How the score is generated (H)'!$B$4:$H$72,4,0)="ü",$S28,0)</f>
        <v>#N/A</v>
      </c>
      <c r="AC28" s="145" t="e">
        <f>IF($N28=0,0,IF(VLOOKUP($H28,'How the score is generated (H)'!$B$4:$H$72,4,0)="ü",2,0))</f>
        <v>#N/A</v>
      </c>
      <c r="AD28" s="35" t="e">
        <f>IF(VLOOKUP($H28,'How the score is generated (H)'!$B$4:$H$72,5,0)="ü",$Q28,0)</f>
        <v>#N/A</v>
      </c>
      <c r="AE28" s="36" t="e">
        <f>IF(VLOOKUP($H28,'How the score is generated (H)'!$B$4:$H$72,5,0)="ü",$S28,0)</f>
        <v>#N/A</v>
      </c>
      <c r="AF28" s="145" t="e">
        <f>IF($N28=0,0,IF(VLOOKUP($H28,'How the score is generated (H)'!$B$4:$H$72,5,0)="ü",2,0))</f>
        <v>#N/A</v>
      </c>
      <c r="AG28" s="35" t="e">
        <f>IF(VLOOKUP($H28,'How the score is generated (H)'!$B$4:$H$72,6,0)="ü",$Q28,0)</f>
        <v>#N/A</v>
      </c>
      <c r="AH28" s="36" t="e">
        <f>IF(VLOOKUP($H28,'How the score is generated (H)'!$B$4:$H$72,6,0)="ü",$S28,0)</f>
        <v>#N/A</v>
      </c>
      <c r="AI28" s="145" t="e">
        <f>IF($N28=0,0,IF(VLOOKUP($H28,'How the score is generated (H)'!$B$4:$H$72,6,0)="ü",2,0))</f>
        <v>#N/A</v>
      </c>
      <c r="AJ28" s="35" t="e">
        <f>IF(VLOOKUP($H28,'How the score is generated (H)'!$B$4:$H$72,7,0)="ü",$Q28,0)</f>
        <v>#N/A</v>
      </c>
      <c r="AK28" s="36" t="e">
        <f>IF(VLOOKUP($H28,'How the score is generated (H)'!$B$4:$H$72,7,0)="ü",$S28,0)</f>
        <v>#N/A</v>
      </c>
      <c r="AL28" s="145" t="e">
        <f>IF($N28=0,0,IF(VLOOKUP($H28,'How the score is generated (H)'!$B$4:$H$72,7,0)="ü",2,0))</f>
        <v>#N/A</v>
      </c>
      <c r="AM28" s="35" t="e">
        <f>IF(VLOOKUP($H28,'How the score is generated (H)'!$B$4:$H$72,8,0)="ü",$Q28,0)</f>
        <v>#N/A</v>
      </c>
      <c r="AN28" s="36" t="e">
        <f>IF(VLOOKUP($H28,'How the score is generated (H)'!$B$4:$H$72,8,0)="ü",$S28,0)</f>
        <v>#N/A</v>
      </c>
      <c r="AO28" s="145" t="e">
        <f>IF($N28=0,0,IF(VLOOKUP($H28,'How the score is generated (H)'!$B$4:$H$72,8,0)="ü",2,0))</f>
        <v>#N/A</v>
      </c>
      <c r="AP28" s="240"/>
      <c r="AQ28" s="35" t="e">
        <f>IF(VLOOKUP($H28,'How the score is generated (P)'!$B$4:$I$72,2,0)="ü",$Q28,0)</f>
        <v>#N/A</v>
      </c>
      <c r="AR28" s="36" t="e">
        <f>IF(VLOOKUP($H28,'How the score is generated (P)'!$B$4:$I$72,2,0)="ü",$S28,0)</f>
        <v>#N/A</v>
      </c>
      <c r="AS28" s="145" t="e">
        <f>IF($N28=0,0,IF(VLOOKUP($H28,'How the score is generated (P)'!$B$4:$I$72,2,0)="ü",2,0))</f>
        <v>#N/A</v>
      </c>
      <c r="AT28" s="35" t="e">
        <f>IF(VLOOKUP($H28,'How the score is generated (P)'!$B$4:$I$72,3,0)="ü",$Q28,0)</f>
        <v>#N/A</v>
      </c>
      <c r="AU28" s="36" t="e">
        <f>IF(VLOOKUP($H28,'How the score is generated (P)'!$B$4:$I$72,3,0)="ü",$S28,0)</f>
        <v>#N/A</v>
      </c>
      <c r="AV28" s="145" t="e">
        <f>IF($N28=0,0,IF(VLOOKUP($H28,'How the score is generated (P)'!$B$4:$I$72,3,0)="ü",2,0))</f>
        <v>#N/A</v>
      </c>
      <c r="AW28" s="35" t="e">
        <f>IF(VLOOKUP($H28,'How the score is generated (P)'!$B$4:$I$72,4,0)="ü",$Q28,0)</f>
        <v>#N/A</v>
      </c>
      <c r="AX28" s="36" t="e">
        <f>IF(VLOOKUP($H28,'How the score is generated (P)'!$B$4:$I$72,4,0)="ü",$S28,0)</f>
        <v>#N/A</v>
      </c>
      <c r="AY28" s="145" t="e">
        <f>IF($N28=0,0,IF(VLOOKUP($H28,'How the score is generated (P)'!$B$4:$I$72,4,0)="ü",2,0))</f>
        <v>#N/A</v>
      </c>
      <c r="AZ28" s="35" t="e">
        <f>IF(VLOOKUP($H28,'How the score is generated (P)'!$B$4:$I$72,5,0)="ü",$Q28,0)</f>
        <v>#N/A</v>
      </c>
      <c r="BA28" s="36" t="e">
        <f>IF(VLOOKUP($H28,'How the score is generated (P)'!$B$4:$I$72,5,0)="ü",$S28,0)</f>
        <v>#N/A</v>
      </c>
      <c r="BB28" s="145" t="e">
        <f>IF($N28=0,0,IF(VLOOKUP($H28,'How the score is generated (P)'!$B$4:$I$72,5,0)="ü",2,0))</f>
        <v>#N/A</v>
      </c>
      <c r="BC28" s="35" t="e">
        <f>IF(VLOOKUP($H28,'How the score is generated (P)'!$B$4:$I$72,6,0)="ü",$Q28,0)</f>
        <v>#N/A</v>
      </c>
      <c r="BD28" s="36" t="e">
        <f>IF(VLOOKUP($H28,'How the score is generated (P)'!$B$4:$I$72,6,0)="ü",$S28,0)</f>
        <v>#N/A</v>
      </c>
      <c r="BE28" s="145" t="e">
        <f>IF($N28=0,0,IF(VLOOKUP($H28,'How the score is generated (P)'!$B$4:$I$72,6,0)="ü",2,0))</f>
        <v>#N/A</v>
      </c>
      <c r="BF28" s="35" t="e">
        <f>IF(VLOOKUP($H28,'How the score is generated (P)'!$B$4:$I$72,7,0)="ü",$Q28,0)</f>
        <v>#N/A</v>
      </c>
      <c r="BG28" s="36" t="e">
        <f>IF(VLOOKUP($H28,'How the score is generated (P)'!$B$4:$I$72,7,0)="ü",$S28,0)</f>
        <v>#N/A</v>
      </c>
      <c r="BH28" s="145" t="e">
        <f>IF($N28=0,0,IF(VLOOKUP($H28,'How the score is generated (P)'!$B$4:$I$72,7,0)="ü",2,0))</f>
        <v>#N/A</v>
      </c>
      <c r="BI28" s="35" t="e">
        <f>IF(VLOOKUP($H28,'How the score is generated (P)'!$B$4:$I$72,8,0)="ü",$Q28,0)</f>
        <v>#N/A</v>
      </c>
      <c r="BJ28" s="36" t="e">
        <f>IF(VLOOKUP($H28,'How the score is generated (P)'!$B$4:$I$72,8,0)="ü",$S28,0)</f>
        <v>#N/A</v>
      </c>
      <c r="BK28" s="145" t="e">
        <f>IF($N28=0,0,IF(VLOOKUP($H28,'How the score is generated (P)'!$B$4:$I$72,8,0)="ü",2,0))</f>
        <v>#N/A</v>
      </c>
      <c r="BL28" s="240"/>
      <c r="BM28" s="201"/>
      <c r="BN28" s="23"/>
      <c r="BO28" s="146"/>
      <c r="BT28" s="34"/>
      <c r="BU28" s="34" t="str">
        <f t="shared" si="10"/>
        <v/>
      </c>
      <c r="BV28" s="34">
        <f>IF(N28=0,"",IF(O28="","",O28))</f>
        <v>0</v>
      </c>
      <c r="BW28" s="34">
        <f t="shared" si="12"/>
        <v>0</v>
      </c>
      <c r="BX28" s="34" t="str">
        <f t="shared" si="13"/>
        <v>15. Cover/distance between shelter (shade) points</v>
      </c>
    </row>
    <row r="29" spans="1:76" ht="26.5" thickBot="1" x14ac:dyDescent="0.4">
      <c r="A29" s="23"/>
      <c r="B29" s="31"/>
      <c r="C29" s="66" t="s">
        <v>72</v>
      </c>
      <c r="D29" s="164">
        <f t="shared" si="14"/>
        <v>16</v>
      </c>
      <c r="E29" s="44" t="s">
        <v>39</v>
      </c>
      <c r="F29" s="198" t="s">
        <v>43</v>
      </c>
      <c r="G29" s="39" t="s">
        <v>90</v>
      </c>
      <c r="H29" s="41" t="s">
        <v>91</v>
      </c>
      <c r="I29" s="272"/>
      <c r="J29" s="45"/>
      <c r="K29" s="41" t="s">
        <v>92</v>
      </c>
      <c r="L29" s="41" t="s">
        <v>93</v>
      </c>
      <c r="M29" s="42" t="s">
        <v>94</v>
      </c>
      <c r="N29" s="170">
        <f>IF(Project!$B$27="Off Highway",0,1)</f>
        <v>1</v>
      </c>
      <c r="O29" s="237">
        <f>IF(Scoring!O29="A",0,Scoring!O29)</f>
        <v>0</v>
      </c>
      <c r="P29" s="144">
        <f>IF(Scoring!P29="A",0,Scoring!P29)</f>
        <v>0</v>
      </c>
      <c r="Q29" s="129">
        <f t="shared" si="7"/>
        <v>0</v>
      </c>
      <c r="R29" s="34">
        <f t="shared" si="8"/>
        <v>2</v>
      </c>
      <c r="S29" s="34">
        <f>IF($N29=0,0,Scoring!P29)</f>
        <v>0</v>
      </c>
      <c r="T29" s="34">
        <f t="shared" si="9"/>
        <v>2</v>
      </c>
      <c r="U29" s="35">
        <f>IF(VLOOKUP($H29,'How the score is generated (H)'!$B$4:$H$72,2,0)="ü",$Q29,0)</f>
        <v>0</v>
      </c>
      <c r="V29" s="36">
        <f>IF(VLOOKUP($H29,'How the score is generated (H)'!$B$4:$H$72,2,0)="ü",$S29,0)</f>
        <v>0</v>
      </c>
      <c r="W29" s="145">
        <f>IF($N29=0,0,IF(VLOOKUP($H29,'How the score is generated (H)'!$B$4:$H$72,2,0)="ü",2,0))</f>
        <v>2</v>
      </c>
      <c r="X29" s="35">
        <f>IF(VLOOKUP($H29,'How the score is generated (H)'!$B$4:$H$72,3,0)="ü",$Q29,0)</f>
        <v>0</v>
      </c>
      <c r="Y29" s="36">
        <f>IF(VLOOKUP($H29,'How the score is generated (H)'!$B$4:$H$72,3,0)="ü",$S29,0)</f>
        <v>0</v>
      </c>
      <c r="Z29" s="145">
        <f>IF($N29=0,0,IF(VLOOKUP($H29,'How the score is generated (H)'!$B$4:$H$72,3,0)="ü",2,0))</f>
        <v>2</v>
      </c>
      <c r="AA29" s="35">
        <f>IF(VLOOKUP($H29,'How the score is generated (H)'!$B$4:$H$72,4,0)="ü",$Q29,0)</f>
        <v>0</v>
      </c>
      <c r="AB29" s="36">
        <f>IF(VLOOKUP($H29,'How the score is generated (H)'!$B$4:$H$72,4,0)="ü",$S29,0)</f>
        <v>0</v>
      </c>
      <c r="AC29" s="145">
        <f>IF($N29=0,0,IF(VLOOKUP($H29,'How the score is generated (H)'!$B$4:$H$72,4,0)="ü",2,0))</f>
        <v>0</v>
      </c>
      <c r="AD29" s="35">
        <f>IF(VLOOKUP($H29,'How the score is generated (H)'!$B$4:$H$72,5,0)="ü",$Q29,0)</f>
        <v>0</v>
      </c>
      <c r="AE29" s="36">
        <f>IF(VLOOKUP($H29,'How the score is generated (H)'!$B$4:$H$72,5,0)="ü",$S29,0)</f>
        <v>0</v>
      </c>
      <c r="AF29" s="145">
        <f>IF($N29=0,0,IF(VLOOKUP($H29,'How the score is generated (H)'!$B$4:$H$72,5,0)="ü",2,0))</f>
        <v>0</v>
      </c>
      <c r="AG29" s="35">
        <f>IF(VLOOKUP($H29,'How the score is generated (H)'!$B$4:$H$72,6,0)="ü",$Q29,0)</f>
        <v>0</v>
      </c>
      <c r="AH29" s="36">
        <f>IF(VLOOKUP($H29,'How the score is generated (H)'!$B$4:$H$72,6,0)="ü",$S29,0)</f>
        <v>0</v>
      </c>
      <c r="AI29" s="145">
        <f>IF($N29=0,0,IF(VLOOKUP($H29,'How the score is generated (H)'!$B$4:$H$72,6,0)="ü",2,0))</f>
        <v>2</v>
      </c>
      <c r="AJ29" s="35">
        <f>IF(VLOOKUP($H29,'How the score is generated (H)'!$B$4:$H$72,7,0)="ü",$Q29,0)</f>
        <v>0</v>
      </c>
      <c r="AK29" s="36">
        <f>IF(VLOOKUP($H29,'How the score is generated (H)'!$B$4:$H$72,7,0)="ü",$S29,0)</f>
        <v>0</v>
      </c>
      <c r="AL29" s="145">
        <f>IF($N29=0,0,IF(VLOOKUP($H29,'How the score is generated (H)'!$B$4:$H$72,7,0)="ü",2,0))</f>
        <v>0</v>
      </c>
      <c r="AM29" s="35" t="e">
        <f>IF(VLOOKUP($H29,'How the score is generated (H)'!$B$4:$H$72,8,0)="ü",$Q29,0)</f>
        <v>#REF!</v>
      </c>
      <c r="AN29" s="36" t="e">
        <f>IF(VLOOKUP($H29,'How the score is generated (H)'!$B$4:$H$72,8,0)="ü",$S29,0)</f>
        <v>#REF!</v>
      </c>
      <c r="AO29" s="145" t="e">
        <f>IF($N29=0,0,IF(VLOOKUP($H29,'How the score is generated (H)'!$B$4:$H$72,8,0)="ü",2,0))</f>
        <v>#REF!</v>
      </c>
      <c r="AP29" s="240"/>
      <c r="AQ29" s="35">
        <f>IF(VLOOKUP($H29,'How the score is generated (P)'!$B$4:$I$72,2,0)="ü",$Q29,0)</f>
        <v>0</v>
      </c>
      <c r="AR29" s="36">
        <f>IF(VLOOKUP($H29,'How the score is generated (P)'!$B$4:$I$72,2,0)="ü",$S29,0)</f>
        <v>0</v>
      </c>
      <c r="AS29" s="145">
        <f>IF($N29=0,0,IF(VLOOKUP($H29,'How the score is generated (P)'!$B$4:$I$72,2,0)="ü",2,0))</f>
        <v>0</v>
      </c>
      <c r="AT29" s="35">
        <f>IF(VLOOKUP($H29,'How the score is generated (P)'!$B$4:$I$72,3,0)="ü",$Q29,0)</f>
        <v>0</v>
      </c>
      <c r="AU29" s="36">
        <f>IF(VLOOKUP($H29,'How the score is generated (P)'!$B$4:$I$72,3,0)="ü",$S29,0)</f>
        <v>0</v>
      </c>
      <c r="AV29" s="145">
        <f>IF($N29=0,0,IF(VLOOKUP($H29,'How the score is generated (P)'!$B$4:$I$72,3,0)="ü",2,0))</f>
        <v>0</v>
      </c>
      <c r="AW29" s="35">
        <f>IF(VLOOKUP($H29,'How the score is generated (P)'!$B$4:$I$72,4,0)="ü",$Q29,0)</f>
        <v>0</v>
      </c>
      <c r="AX29" s="36">
        <f>IF(VLOOKUP($H29,'How the score is generated (P)'!$B$4:$I$72,4,0)="ü",$S29,0)</f>
        <v>0</v>
      </c>
      <c r="AY29" s="145">
        <f>IF($N29=0,0,IF(VLOOKUP($H29,'How the score is generated (P)'!$B$4:$I$72,4,0)="ü",2,0))</f>
        <v>0</v>
      </c>
      <c r="AZ29" s="35">
        <f>IF(VLOOKUP($H29,'How the score is generated (P)'!$B$4:$I$72,5,0)="ü",$Q29,0)</f>
        <v>0</v>
      </c>
      <c r="BA29" s="36">
        <f>IF(VLOOKUP($H29,'How the score is generated (P)'!$B$4:$I$72,5,0)="ü",$S29,0)</f>
        <v>0</v>
      </c>
      <c r="BB29" s="145">
        <f>IF($N29=0,0,IF(VLOOKUP($H29,'How the score is generated (P)'!$B$4:$I$72,5,0)="ü",2,0))</f>
        <v>2</v>
      </c>
      <c r="BC29" s="35">
        <f>IF(VLOOKUP($H29,'How the score is generated (P)'!$B$4:$I$72,6,0)="ü",$Q29,0)</f>
        <v>0</v>
      </c>
      <c r="BD29" s="36">
        <f>IF(VLOOKUP($H29,'How the score is generated (P)'!$B$4:$I$72,6,0)="ü",$S29,0)</f>
        <v>0</v>
      </c>
      <c r="BE29" s="145">
        <f>IF($N29=0,0,IF(VLOOKUP($H29,'How the score is generated (P)'!$B$4:$I$72,6,0)="ü",2,0))</f>
        <v>2</v>
      </c>
      <c r="BF29" s="35">
        <f>IF(VLOOKUP($H29,'How the score is generated (P)'!$B$4:$I$72,7,0)="ü",$Q29,0)</f>
        <v>0</v>
      </c>
      <c r="BG29" s="36">
        <f>IF(VLOOKUP($H29,'How the score is generated (P)'!$B$4:$I$72,7,0)="ü",$S29,0)</f>
        <v>0</v>
      </c>
      <c r="BH29" s="145">
        <f>IF($N29=0,0,IF(VLOOKUP($H29,'How the score is generated (P)'!$B$4:$I$72,7,0)="ü",2,0))</f>
        <v>0</v>
      </c>
      <c r="BI29" s="35">
        <f>IF(VLOOKUP($H29,'How the score is generated (P)'!$B$4:$I$72,8,0)="ü",$Q29,0)</f>
        <v>0</v>
      </c>
      <c r="BJ29" s="36">
        <f>IF(VLOOKUP($H29,'How the score is generated (P)'!$B$4:$I$72,8,0)="ü",$S29,0)</f>
        <v>0</v>
      </c>
      <c r="BK29" s="145">
        <f>IF($N29=0,0,IF(VLOOKUP($H29,'How the score is generated (P)'!$B$4:$I$72,8,0)="ü",2,0))</f>
        <v>2</v>
      </c>
      <c r="BL29" s="240"/>
      <c r="BM29" s="201"/>
      <c r="BN29" s="23"/>
      <c r="BO29" s="146"/>
      <c r="BT29" s="34"/>
      <c r="BU29" s="34" t="str">
        <f t="shared" si="10"/>
        <v/>
      </c>
      <c r="BV29" s="34">
        <f>IF(N29=0,"",IF(O29="","",O29))</f>
        <v>0</v>
      </c>
      <c r="BW29" s="34">
        <f t="shared" si="12"/>
        <v>0</v>
      </c>
      <c r="BX29" s="34" t="str">
        <f t="shared" si="13"/>
        <v>16. Walking distance between resting points</v>
      </c>
    </row>
    <row r="30" spans="1:76" ht="26.5" thickBot="1" x14ac:dyDescent="0.4">
      <c r="A30" s="23"/>
      <c r="B30" s="31"/>
      <c r="C30" s="209" t="s">
        <v>72</v>
      </c>
      <c r="D30" s="164">
        <f t="shared" si="14"/>
        <v>17</v>
      </c>
      <c r="E30" s="44" t="s">
        <v>39</v>
      </c>
      <c r="F30" s="168" t="s">
        <v>20</v>
      </c>
      <c r="G30" s="39" t="s">
        <v>95</v>
      </c>
      <c r="H30" s="41" t="s">
        <v>95</v>
      </c>
      <c r="I30" s="272"/>
      <c r="J30" s="45"/>
      <c r="K30" s="41" t="s">
        <v>96</v>
      </c>
      <c r="L30" s="41" t="s">
        <v>97</v>
      </c>
      <c r="M30" s="42" t="s">
        <v>98</v>
      </c>
      <c r="N30" s="170">
        <f>IF(Project!$B$27="Off Highway",0,1)</f>
        <v>1</v>
      </c>
      <c r="O30" s="237">
        <f>IF(Scoring!O30="A",0,Scoring!O30)</f>
        <v>0</v>
      </c>
      <c r="P30" s="144">
        <f>IF(Scoring!P30="A",0,Scoring!P30)</f>
        <v>0</v>
      </c>
      <c r="Q30" s="129">
        <f t="shared" si="7"/>
        <v>0</v>
      </c>
      <c r="R30" s="34">
        <f t="shared" si="8"/>
        <v>2</v>
      </c>
      <c r="S30" s="34">
        <f>IF($N30=0,0,Scoring!P30)</f>
        <v>0</v>
      </c>
      <c r="T30" s="34">
        <f t="shared" si="9"/>
        <v>2</v>
      </c>
      <c r="U30" s="35" t="e">
        <f>IF(VLOOKUP($H30,'How the score is generated (H)'!$B$4:$H$72,2,0)="ü",$Q30,0)</f>
        <v>#N/A</v>
      </c>
      <c r="V30" s="36" t="e">
        <f>IF(VLOOKUP($H30,'How the score is generated (H)'!$B$4:$H$72,2,0)="ü",$S30,0)</f>
        <v>#N/A</v>
      </c>
      <c r="W30" s="145" t="e">
        <f>IF($N30=0,0,IF(VLOOKUP($H30,'How the score is generated (H)'!$B$4:$H$72,2,0)="ü",2,0))</f>
        <v>#N/A</v>
      </c>
      <c r="X30" s="35" t="e">
        <f>IF(VLOOKUP($H30,'How the score is generated (H)'!$B$4:$H$72,3,0)="ü",$Q30,0)</f>
        <v>#N/A</v>
      </c>
      <c r="Y30" s="36" t="e">
        <f>IF(VLOOKUP($H30,'How the score is generated (H)'!$B$4:$H$72,3,0)="ü",$S30,0)</f>
        <v>#N/A</v>
      </c>
      <c r="Z30" s="145" t="e">
        <f>IF($N30=0,0,IF(VLOOKUP($H30,'How the score is generated (H)'!$B$4:$H$72,3,0)="ü",2,0))</f>
        <v>#N/A</v>
      </c>
      <c r="AA30" s="35" t="e">
        <f>IF(VLOOKUP($H30,'How the score is generated (H)'!$B$4:$H$72,4,0)="ü",$Q30,0)</f>
        <v>#N/A</v>
      </c>
      <c r="AB30" s="36" t="e">
        <f>IF(VLOOKUP($H30,'How the score is generated (H)'!$B$4:$H$72,4,0)="ü",$S30,0)</f>
        <v>#N/A</v>
      </c>
      <c r="AC30" s="145" t="e">
        <f>IF($N30=0,0,IF(VLOOKUP($H30,'How the score is generated (H)'!$B$4:$H$72,4,0)="ü",2,0))</f>
        <v>#N/A</v>
      </c>
      <c r="AD30" s="35" t="e">
        <f>IF(VLOOKUP($H30,'How the score is generated (H)'!$B$4:$H$72,5,0)="ü",$Q30,0)</f>
        <v>#N/A</v>
      </c>
      <c r="AE30" s="36" t="e">
        <f>IF(VLOOKUP($H30,'How the score is generated (H)'!$B$4:$H$72,5,0)="ü",$S30,0)</f>
        <v>#N/A</v>
      </c>
      <c r="AF30" s="145" t="e">
        <f>IF($N30=0,0,IF(VLOOKUP($H30,'How the score is generated (H)'!$B$4:$H$72,5,0)="ü",2,0))</f>
        <v>#N/A</v>
      </c>
      <c r="AG30" s="35" t="e">
        <f>IF(VLOOKUP($H30,'How the score is generated (H)'!$B$4:$H$72,6,0)="ü",$Q30,0)</f>
        <v>#N/A</v>
      </c>
      <c r="AH30" s="36" t="e">
        <f>IF(VLOOKUP($H30,'How the score is generated (H)'!$B$4:$H$72,6,0)="ü",$S30,0)</f>
        <v>#N/A</v>
      </c>
      <c r="AI30" s="145" t="e">
        <f>IF($N30=0,0,IF(VLOOKUP($H30,'How the score is generated (H)'!$B$4:$H$72,6,0)="ü",2,0))</f>
        <v>#N/A</v>
      </c>
      <c r="AJ30" s="35" t="e">
        <f>IF(VLOOKUP($H30,'How the score is generated (H)'!$B$4:$H$72,7,0)="ü",$Q30,0)</f>
        <v>#N/A</v>
      </c>
      <c r="AK30" s="36" t="e">
        <f>IF(VLOOKUP($H30,'How the score is generated (H)'!$B$4:$H$72,7,0)="ü",$S30,0)</f>
        <v>#N/A</v>
      </c>
      <c r="AL30" s="145" t="e">
        <f>IF($N30=0,0,IF(VLOOKUP($H30,'How the score is generated (H)'!$B$4:$H$72,7,0)="ü",2,0))</f>
        <v>#N/A</v>
      </c>
      <c r="AM30" s="35" t="e">
        <f>IF(VLOOKUP($H30,'How the score is generated (H)'!$B$4:$H$72,8,0)="ü",$Q30,0)</f>
        <v>#N/A</v>
      </c>
      <c r="AN30" s="36" t="e">
        <f>IF(VLOOKUP($H30,'How the score is generated (H)'!$B$4:$H$72,8,0)="ü",$S30,0)</f>
        <v>#N/A</v>
      </c>
      <c r="AO30" s="145" t="e">
        <f>IF($N30=0,0,IF(VLOOKUP($H30,'How the score is generated (H)'!$B$4:$H$72,8,0)="ü",2,0))</f>
        <v>#N/A</v>
      </c>
      <c r="AP30" s="240"/>
      <c r="AQ30" s="35" t="e">
        <f>IF(VLOOKUP($H30,'How the score is generated (P)'!$B$4:$I$72,2,0)="ü",$Q30,0)</f>
        <v>#N/A</v>
      </c>
      <c r="AR30" s="36" t="e">
        <f>IF(VLOOKUP($H30,'How the score is generated (P)'!$B$4:$I$72,2,0)="ü",$S30,0)</f>
        <v>#N/A</v>
      </c>
      <c r="AS30" s="145" t="e">
        <f>IF($N30=0,0,IF(VLOOKUP($H30,'How the score is generated (P)'!$B$4:$I$72,2,0)="ü",2,0))</f>
        <v>#N/A</v>
      </c>
      <c r="AT30" s="35" t="e">
        <f>IF(VLOOKUP($H30,'How the score is generated (P)'!$B$4:$I$72,3,0)="ü",$Q30,0)</f>
        <v>#N/A</v>
      </c>
      <c r="AU30" s="36" t="e">
        <f>IF(VLOOKUP($H30,'How the score is generated (P)'!$B$4:$I$72,3,0)="ü",$S30,0)</f>
        <v>#N/A</v>
      </c>
      <c r="AV30" s="145" t="e">
        <f>IF($N30=0,0,IF(VLOOKUP($H30,'How the score is generated (P)'!$B$4:$I$72,3,0)="ü",2,0))</f>
        <v>#N/A</v>
      </c>
      <c r="AW30" s="35" t="e">
        <f>IF(VLOOKUP($H30,'How the score is generated (P)'!$B$4:$I$72,4,0)="ü",$Q30,0)</f>
        <v>#N/A</v>
      </c>
      <c r="AX30" s="36" t="e">
        <f>IF(VLOOKUP($H30,'How the score is generated (P)'!$B$4:$I$72,4,0)="ü",$S30,0)</f>
        <v>#N/A</v>
      </c>
      <c r="AY30" s="145" t="e">
        <f>IF($N30=0,0,IF(VLOOKUP($H30,'How the score is generated (P)'!$B$4:$I$72,4,0)="ü",2,0))</f>
        <v>#N/A</v>
      </c>
      <c r="AZ30" s="35" t="e">
        <f>IF(VLOOKUP($H30,'How the score is generated (P)'!$B$4:$I$72,5,0)="ü",$Q30,0)</f>
        <v>#N/A</v>
      </c>
      <c r="BA30" s="36" t="e">
        <f>IF(VLOOKUP($H30,'How the score is generated (P)'!$B$4:$I$72,5,0)="ü",$S30,0)</f>
        <v>#N/A</v>
      </c>
      <c r="BB30" s="145" t="e">
        <f>IF($N30=0,0,IF(VLOOKUP($H30,'How the score is generated (P)'!$B$4:$I$72,5,0)="ü",2,0))</f>
        <v>#N/A</v>
      </c>
      <c r="BC30" s="35" t="e">
        <f>IF(VLOOKUP($H30,'How the score is generated (P)'!$B$4:$I$72,6,0)="ü",$Q30,0)</f>
        <v>#N/A</v>
      </c>
      <c r="BD30" s="36" t="e">
        <f>IF(VLOOKUP($H30,'How the score is generated (P)'!$B$4:$I$72,6,0)="ü",$S30,0)</f>
        <v>#N/A</v>
      </c>
      <c r="BE30" s="145" t="e">
        <f>IF($N30=0,0,IF(VLOOKUP($H30,'How the score is generated (P)'!$B$4:$I$72,6,0)="ü",2,0))</f>
        <v>#N/A</v>
      </c>
      <c r="BF30" s="35" t="e">
        <f>IF(VLOOKUP($H30,'How the score is generated (P)'!$B$4:$I$72,7,0)="ü",$Q30,0)</f>
        <v>#N/A</v>
      </c>
      <c r="BG30" s="36" t="e">
        <f>IF(VLOOKUP($H30,'How the score is generated (P)'!$B$4:$I$72,7,0)="ü",$S30,0)</f>
        <v>#N/A</v>
      </c>
      <c r="BH30" s="145" t="e">
        <f>IF($N30=0,0,IF(VLOOKUP($H30,'How the score is generated (P)'!$B$4:$I$72,7,0)="ü",2,0))</f>
        <v>#N/A</v>
      </c>
      <c r="BI30" s="35" t="e">
        <f>IF(VLOOKUP($H30,'How the score is generated (P)'!$B$4:$I$72,8,0)="ü",$Q30,0)</f>
        <v>#N/A</v>
      </c>
      <c r="BJ30" s="36" t="e">
        <f>IF(VLOOKUP($H30,'How the score is generated (P)'!$B$4:$I$72,8,0)="ü",$S30,0)</f>
        <v>#N/A</v>
      </c>
      <c r="BK30" s="145" t="e">
        <f>IF($N30=0,0,IF(VLOOKUP($H30,'How the score is generated (P)'!$B$4:$I$72,8,0)="ü",2,0))</f>
        <v>#N/A</v>
      </c>
      <c r="BL30" s="240"/>
      <c r="BM30" s="201"/>
      <c r="BN30" s="23"/>
      <c r="BO30" s="146"/>
      <c r="BT30" s="34"/>
      <c r="BU30" s="34" t="str">
        <f t="shared" si="10"/>
        <v/>
      </c>
      <c r="BV30" s="34">
        <f t="shared" si="11"/>
        <v>0</v>
      </c>
      <c r="BW30" s="34">
        <f t="shared" si="12"/>
        <v>0</v>
      </c>
      <c r="BX30" s="34" t="str">
        <f t="shared" si="13"/>
        <v>17. Signing</v>
      </c>
    </row>
    <row r="31" spans="1:76" ht="39.5" thickBot="1" x14ac:dyDescent="0.4">
      <c r="A31" s="23"/>
      <c r="B31" s="31"/>
      <c r="C31" s="218" t="s">
        <v>72</v>
      </c>
      <c r="D31" s="211">
        <f t="shared" si="14"/>
        <v>18</v>
      </c>
      <c r="E31" s="212" t="s">
        <v>39</v>
      </c>
      <c r="F31" s="213" t="s">
        <v>20</v>
      </c>
      <c r="G31" s="214" t="s">
        <v>265</v>
      </c>
      <c r="H31" s="215" t="s">
        <v>265</v>
      </c>
      <c r="I31" s="274"/>
      <c r="J31" s="216" t="s">
        <v>266</v>
      </c>
      <c r="K31" s="215" t="s">
        <v>267</v>
      </c>
      <c r="L31" s="215" t="s">
        <v>268</v>
      </c>
      <c r="M31" s="217" t="s">
        <v>269</v>
      </c>
      <c r="N31" s="129">
        <v>1</v>
      </c>
      <c r="O31" s="237">
        <f>IF(Scoring!O31="A",0,Scoring!O31)</f>
        <v>0</v>
      </c>
      <c r="P31" s="144">
        <f>IF(Scoring!P31="A",0,Scoring!P31)</f>
        <v>0</v>
      </c>
      <c r="Q31" s="129">
        <f t="shared" si="7"/>
        <v>0</v>
      </c>
      <c r="R31" s="34">
        <f t="shared" si="8"/>
        <v>2</v>
      </c>
      <c r="S31" s="34">
        <f>IF($N31=0,0,Scoring!P31)</f>
        <v>0</v>
      </c>
      <c r="T31" s="34">
        <f t="shared" si="9"/>
        <v>2</v>
      </c>
      <c r="U31" s="35" t="e">
        <f>IF(VLOOKUP($H31,'How the score is generated (H)'!$B$4:$H$72,2,0)="ü",$Q31,0)</f>
        <v>#N/A</v>
      </c>
      <c r="V31" s="36" t="e">
        <f>IF(VLOOKUP($H31,'How the score is generated (H)'!$B$4:$H$72,2,0)="ü",$S31,0)</f>
        <v>#N/A</v>
      </c>
      <c r="W31" s="145" t="e">
        <f>IF($N31=0,0,IF(VLOOKUP($H31,'How the score is generated (H)'!$B$4:$H$72,2,0)="ü",2,0))</f>
        <v>#N/A</v>
      </c>
      <c r="X31" s="35" t="e">
        <f>IF(VLOOKUP($H31,'How the score is generated (H)'!$B$4:$H$72,3,0)="ü",$Q31,0)</f>
        <v>#N/A</v>
      </c>
      <c r="Y31" s="36" t="e">
        <f>IF(VLOOKUP($H31,'How the score is generated (H)'!$B$4:$H$72,3,0)="ü",$S31,0)</f>
        <v>#N/A</v>
      </c>
      <c r="Z31" s="145" t="e">
        <f>IF($N31=0,0,IF(VLOOKUP($H31,'How the score is generated (H)'!$B$4:$H$72,3,0)="ü",2,0))</f>
        <v>#N/A</v>
      </c>
      <c r="AA31" s="35" t="e">
        <f>IF(VLOOKUP($H31,'How the score is generated (H)'!$B$4:$H$72,4,0)="ü",$Q31,0)</f>
        <v>#N/A</v>
      </c>
      <c r="AB31" s="36" t="e">
        <f>IF(VLOOKUP($H31,'How the score is generated (H)'!$B$4:$H$72,4,0)="ü",$S31,0)</f>
        <v>#N/A</v>
      </c>
      <c r="AC31" s="145" t="e">
        <f>IF($N31=0,0,IF(VLOOKUP($H31,'How the score is generated (H)'!$B$4:$H$72,4,0)="ü",2,0))</f>
        <v>#N/A</v>
      </c>
      <c r="AD31" s="35" t="e">
        <f>IF(VLOOKUP($H31,'How the score is generated (H)'!$B$4:$H$72,5,0)="ü",$Q31,0)</f>
        <v>#N/A</v>
      </c>
      <c r="AE31" s="36" t="e">
        <f>IF(VLOOKUP($H31,'How the score is generated (H)'!$B$4:$H$72,5,0)="ü",$S31,0)</f>
        <v>#N/A</v>
      </c>
      <c r="AF31" s="145" t="e">
        <f>IF($N31=0,0,IF(VLOOKUP($H31,'How the score is generated (H)'!$B$4:$H$72,5,0)="ü",2,0))</f>
        <v>#N/A</v>
      </c>
      <c r="AG31" s="35" t="e">
        <f>IF(VLOOKUP($H31,'How the score is generated (H)'!$B$4:$H$72,6,0)="ü",$Q31,0)</f>
        <v>#N/A</v>
      </c>
      <c r="AH31" s="36" t="e">
        <f>IF(VLOOKUP($H31,'How the score is generated (H)'!$B$4:$H$72,6,0)="ü",$S31,0)</f>
        <v>#N/A</v>
      </c>
      <c r="AI31" s="145" t="e">
        <f>IF($N31=0,0,IF(VLOOKUP($H31,'How the score is generated (H)'!$B$4:$H$72,6,0)="ü",2,0))</f>
        <v>#N/A</v>
      </c>
      <c r="AJ31" s="35" t="e">
        <f>IF(VLOOKUP($H31,'How the score is generated (H)'!$B$4:$H$72,7,0)="ü",$Q31,0)</f>
        <v>#N/A</v>
      </c>
      <c r="AK31" s="36" t="e">
        <f>IF(VLOOKUP($H31,'How the score is generated (H)'!$B$4:$H$72,7,0)="ü",$S31,0)</f>
        <v>#N/A</v>
      </c>
      <c r="AL31" s="145" t="e">
        <f>IF($N31=0,0,IF(VLOOKUP($H31,'How the score is generated (H)'!$B$4:$H$72,7,0)="ü",2,0))</f>
        <v>#N/A</v>
      </c>
      <c r="AM31" s="35" t="e">
        <f>IF(VLOOKUP($H31,'How the score is generated (H)'!$B$4:$H$72,8,0)="ü",$Q31,0)</f>
        <v>#N/A</v>
      </c>
      <c r="AN31" s="36" t="e">
        <f>IF(VLOOKUP($H31,'How the score is generated (H)'!$B$4:$H$72,8,0)="ü",$S31,0)</f>
        <v>#N/A</v>
      </c>
      <c r="AO31" s="145" t="e">
        <f>IF($N31=0,0,IF(VLOOKUP($H31,'How the score is generated (H)'!$B$4:$H$72,8,0)="ü",2,0))</f>
        <v>#N/A</v>
      </c>
      <c r="AP31" s="240"/>
      <c r="AQ31" s="35" t="e">
        <f>IF(VLOOKUP($H31,'How the score is generated (P)'!$B$4:$I$72,2,0)="ü",$Q31,0)</f>
        <v>#N/A</v>
      </c>
      <c r="AR31" s="36" t="e">
        <f>IF(VLOOKUP($H31,'How the score is generated (P)'!$B$4:$I$72,2,0)="ü",$S31,0)</f>
        <v>#N/A</v>
      </c>
      <c r="AS31" s="145" t="e">
        <f>IF($N31=0,0,IF(VLOOKUP($H31,'How the score is generated (P)'!$B$4:$I$72,2,0)="ü",2,0))</f>
        <v>#N/A</v>
      </c>
      <c r="AT31" s="35" t="e">
        <f>IF(VLOOKUP($H31,'How the score is generated (P)'!$B$4:$I$72,3,0)="ü",$Q31,0)</f>
        <v>#N/A</v>
      </c>
      <c r="AU31" s="36" t="e">
        <f>IF(VLOOKUP($H31,'How the score is generated (P)'!$B$4:$I$72,3,0)="ü",$S31,0)</f>
        <v>#N/A</v>
      </c>
      <c r="AV31" s="145" t="e">
        <f>IF($N31=0,0,IF(VLOOKUP($H31,'How the score is generated (P)'!$B$4:$I$72,3,0)="ü",2,0))</f>
        <v>#N/A</v>
      </c>
      <c r="AW31" s="35" t="e">
        <f>IF(VLOOKUP($H31,'How the score is generated (P)'!$B$4:$I$72,4,0)="ü",$Q31,0)</f>
        <v>#N/A</v>
      </c>
      <c r="AX31" s="36" t="e">
        <f>IF(VLOOKUP($H31,'How the score is generated (P)'!$B$4:$I$72,4,0)="ü",$S31,0)</f>
        <v>#N/A</v>
      </c>
      <c r="AY31" s="145" t="e">
        <f>IF($N31=0,0,IF(VLOOKUP($H31,'How the score is generated (P)'!$B$4:$I$72,4,0)="ü",2,0))</f>
        <v>#N/A</v>
      </c>
      <c r="AZ31" s="35" t="e">
        <f>IF(VLOOKUP($H31,'How the score is generated (P)'!$B$4:$I$72,5,0)="ü",$Q31,0)</f>
        <v>#N/A</v>
      </c>
      <c r="BA31" s="36" t="e">
        <f>IF(VLOOKUP($H31,'How the score is generated (P)'!$B$4:$I$72,5,0)="ü",$S31,0)</f>
        <v>#N/A</v>
      </c>
      <c r="BB31" s="145" t="e">
        <f>IF($N31=0,0,IF(VLOOKUP($H31,'How the score is generated (P)'!$B$4:$I$72,5,0)="ü",2,0))</f>
        <v>#N/A</v>
      </c>
      <c r="BC31" s="35" t="e">
        <f>IF(VLOOKUP($H31,'How the score is generated (P)'!$B$4:$I$72,6,0)="ü",$Q31,0)</f>
        <v>#N/A</v>
      </c>
      <c r="BD31" s="36" t="e">
        <f>IF(VLOOKUP($H31,'How the score is generated (P)'!$B$4:$I$72,6,0)="ü",$S31,0)</f>
        <v>#N/A</v>
      </c>
      <c r="BE31" s="145" t="e">
        <f>IF($N31=0,0,IF(VLOOKUP($H31,'How the score is generated (P)'!$B$4:$I$72,6,0)="ü",2,0))</f>
        <v>#N/A</v>
      </c>
      <c r="BF31" s="35" t="e">
        <f>IF(VLOOKUP($H31,'How the score is generated (P)'!$B$4:$I$72,7,0)="ü",$Q31,0)</f>
        <v>#N/A</v>
      </c>
      <c r="BG31" s="36" t="e">
        <f>IF(VLOOKUP($H31,'How the score is generated (P)'!$B$4:$I$72,7,0)="ü",$S31,0)</f>
        <v>#N/A</v>
      </c>
      <c r="BH31" s="145" t="e">
        <f>IF($N31=0,0,IF(VLOOKUP($H31,'How the score is generated (P)'!$B$4:$I$72,7,0)="ü",2,0))</f>
        <v>#N/A</v>
      </c>
      <c r="BI31" s="35" t="e">
        <f>IF(VLOOKUP($H31,'How the score is generated (P)'!$B$4:$I$72,8,0)="ü",$Q31,0)</f>
        <v>#N/A</v>
      </c>
      <c r="BJ31" s="36" t="e">
        <f>IF(VLOOKUP($H31,'How the score is generated (P)'!$B$4:$I$72,8,0)="ü",$S31,0)</f>
        <v>#N/A</v>
      </c>
      <c r="BK31" s="145" t="e">
        <f>IF($N31=0,0,IF(VLOOKUP($H31,'How the score is generated (P)'!$B$4:$I$72,8,0)="ü",2,0))</f>
        <v>#N/A</v>
      </c>
      <c r="BL31" s="240"/>
      <c r="BM31" s="201"/>
      <c r="BN31" s="23"/>
      <c r="BO31" s="146"/>
      <c r="BT31" s="34"/>
      <c r="BU31" s="34" t="str">
        <f>IF(BT31="Amber",IF(S31=0,"Residual Amber",""),"")</f>
        <v/>
      </c>
      <c r="BV31" s="34">
        <f>IF(N31=0,"",IF(O31="","",O31))</f>
        <v>0</v>
      </c>
      <c r="BW31" s="34">
        <f>IF(N31=0,"",IF(P31="","",P31))</f>
        <v>0</v>
      </c>
      <c r="BX31" s="34" t="str">
        <f>D31&amp;". "&amp;H31</f>
        <v>18. Shared use</v>
      </c>
    </row>
    <row r="32" spans="1:76" ht="15" thickBot="1" x14ac:dyDescent="0.4">
      <c r="A32" s="23"/>
      <c r="B32" s="31"/>
      <c r="C32" s="47"/>
      <c r="D32" s="47"/>
      <c r="E32" s="47"/>
      <c r="F32" s="47"/>
      <c r="G32" s="171" t="s">
        <v>72</v>
      </c>
      <c r="H32" s="172"/>
      <c r="I32" s="263"/>
      <c r="J32" s="172"/>
      <c r="K32" s="172"/>
      <c r="L32" s="172"/>
      <c r="M32" s="172"/>
      <c r="N32" s="48"/>
      <c r="O32" s="49" t="str">
        <f>Q32&amp;"/"&amp;R32</f>
        <v>0/14</v>
      </c>
      <c r="P32" s="49" t="str">
        <f>S32&amp;"/"&amp;T32</f>
        <v>0/14</v>
      </c>
      <c r="Q32" s="51">
        <f>SUM(Q25:Q31)</f>
        <v>0</v>
      </c>
      <c r="R32" s="51">
        <f>SUM(R25:R31)</f>
        <v>14</v>
      </c>
      <c r="S32" s="51">
        <f>SUM(S25:S31)</f>
        <v>0</v>
      </c>
      <c r="T32" s="51">
        <f>SUM(T25:T31)</f>
        <v>14</v>
      </c>
      <c r="U32" s="54"/>
      <c r="V32" s="56"/>
      <c r="W32" s="56"/>
      <c r="X32" s="54"/>
      <c r="Y32" s="56"/>
      <c r="Z32" s="56"/>
      <c r="AA32" s="54"/>
      <c r="AB32" s="56"/>
      <c r="AC32" s="56"/>
      <c r="AD32" s="54"/>
      <c r="AE32" s="56"/>
      <c r="AF32" s="56"/>
      <c r="AG32" s="54"/>
      <c r="AH32" s="56"/>
      <c r="AI32" s="56"/>
      <c r="AJ32" s="54"/>
      <c r="AK32" s="56"/>
      <c r="AL32" s="56"/>
      <c r="AM32" s="54"/>
      <c r="AN32" s="56"/>
      <c r="AO32" s="56"/>
      <c r="AP32" s="240"/>
      <c r="AQ32" s="54"/>
      <c r="AR32" s="56"/>
      <c r="AS32" s="56"/>
      <c r="AT32" s="54"/>
      <c r="AU32" s="56"/>
      <c r="AV32" s="56"/>
      <c r="AW32" s="54"/>
      <c r="AX32" s="56"/>
      <c r="AY32" s="56"/>
      <c r="AZ32" s="54"/>
      <c r="BA32" s="56"/>
      <c r="BB32" s="56"/>
      <c r="BC32" s="54"/>
      <c r="BD32" s="56"/>
      <c r="BE32" s="56"/>
      <c r="BF32" s="54"/>
      <c r="BG32" s="56"/>
      <c r="BH32" s="56"/>
      <c r="BI32" s="54"/>
      <c r="BJ32" s="56"/>
      <c r="BK32" s="56"/>
      <c r="BL32" s="240"/>
      <c r="BM32" s="23"/>
      <c r="BN32" s="23"/>
      <c r="BO32" s="23"/>
      <c r="BT32" s="51"/>
      <c r="BU32" s="51"/>
      <c r="BV32" s="51"/>
      <c r="BW32" s="51"/>
      <c r="BX32" s="51"/>
    </row>
    <row r="33" spans="1:76" ht="21.5" thickBot="1" x14ac:dyDescent="0.4">
      <c r="A33" s="23"/>
      <c r="B33" s="57"/>
      <c r="C33" s="58"/>
      <c r="D33" s="58"/>
      <c r="E33" s="58"/>
      <c r="F33" s="58"/>
      <c r="G33" s="59"/>
      <c r="H33" s="59"/>
      <c r="I33" s="264"/>
      <c r="J33" s="67"/>
      <c r="K33" s="61"/>
      <c r="L33" s="61"/>
      <c r="M33" s="61"/>
      <c r="N33" s="61"/>
      <c r="O33" s="61"/>
      <c r="P33" s="61"/>
      <c r="Q33" s="61"/>
      <c r="R33" s="61"/>
      <c r="S33" s="61"/>
      <c r="T33" s="61"/>
      <c r="U33" s="54"/>
      <c r="V33" s="23"/>
      <c r="W33" s="23"/>
      <c r="X33" s="54"/>
      <c r="Y33" s="23"/>
      <c r="Z33" s="23"/>
      <c r="AA33" s="54"/>
      <c r="AB33" s="23"/>
      <c r="AC33" s="23"/>
      <c r="AD33" s="54"/>
      <c r="AE33" s="23"/>
      <c r="AF33" s="23"/>
      <c r="AG33" s="54"/>
      <c r="AH33" s="23"/>
      <c r="AI33" s="23"/>
      <c r="AJ33" s="54"/>
      <c r="AK33" s="23"/>
      <c r="AL33" s="23"/>
      <c r="AM33" s="54"/>
      <c r="AN33" s="23"/>
      <c r="AO33" s="23"/>
      <c r="AP33" s="23"/>
      <c r="AQ33" s="54"/>
      <c r="AR33" s="23"/>
      <c r="AS33" s="23"/>
      <c r="AT33" s="54"/>
      <c r="AU33" s="23"/>
      <c r="AV33" s="23"/>
      <c r="AW33" s="54"/>
      <c r="AX33" s="23"/>
      <c r="AY33" s="23"/>
      <c r="AZ33" s="54"/>
      <c r="BA33" s="23"/>
      <c r="BB33" s="23"/>
      <c r="BC33" s="54"/>
      <c r="BD33" s="23"/>
      <c r="BE33" s="23"/>
      <c r="BF33" s="54"/>
      <c r="BG33" s="23"/>
      <c r="BH33" s="23"/>
      <c r="BI33" s="54"/>
      <c r="BJ33" s="23"/>
      <c r="BK33" s="23"/>
      <c r="BL33" s="23"/>
      <c r="BM33" s="23"/>
      <c r="BN33" s="23"/>
      <c r="BO33" s="23"/>
      <c r="BT33" s="61"/>
      <c r="BU33" s="61"/>
      <c r="BV33" s="61"/>
      <c r="BW33" s="61"/>
      <c r="BX33" s="61"/>
    </row>
    <row r="34" spans="1:76" ht="19" thickBot="1" x14ac:dyDescent="0.4">
      <c r="A34" s="23"/>
      <c r="B34" s="62"/>
      <c r="C34" s="27"/>
      <c r="D34" s="27"/>
      <c r="E34" s="27"/>
      <c r="F34" s="27"/>
      <c r="G34" s="522" t="s">
        <v>99</v>
      </c>
      <c r="H34" s="655"/>
      <c r="I34" s="655"/>
      <c r="J34" s="655"/>
      <c r="K34" s="655"/>
      <c r="L34" s="655"/>
      <c r="M34" s="656"/>
      <c r="N34" s="28"/>
      <c r="O34" s="28" t="s">
        <v>32</v>
      </c>
      <c r="P34" s="29" t="s">
        <v>33</v>
      </c>
      <c r="Q34" s="30"/>
      <c r="R34" s="30"/>
      <c r="S34" s="30"/>
      <c r="T34" s="30"/>
      <c r="U34" s="54"/>
      <c r="V34" s="23"/>
      <c r="W34" s="23"/>
      <c r="X34" s="54"/>
      <c r="Y34" s="23"/>
      <c r="Z34" s="23"/>
      <c r="AA34" s="54"/>
      <c r="AB34" s="23"/>
      <c r="AC34" s="23"/>
      <c r="AD34" s="54"/>
      <c r="AE34" s="23"/>
      <c r="AF34" s="23"/>
      <c r="AG34" s="54"/>
      <c r="AH34" s="23"/>
      <c r="AI34" s="23"/>
      <c r="AJ34" s="54"/>
      <c r="AK34" s="23"/>
      <c r="AL34" s="23"/>
      <c r="AM34" s="54"/>
      <c r="AN34" s="23"/>
      <c r="AO34" s="23"/>
      <c r="AP34" s="23"/>
      <c r="AQ34" s="54"/>
      <c r="AR34" s="23"/>
      <c r="AS34" s="23"/>
      <c r="AT34" s="54"/>
      <c r="AU34" s="23"/>
      <c r="AV34" s="23"/>
      <c r="AW34" s="54"/>
      <c r="AX34" s="23"/>
      <c r="AY34" s="23"/>
      <c r="AZ34" s="54"/>
      <c r="BA34" s="23"/>
      <c r="BB34" s="23"/>
      <c r="BC34" s="54"/>
      <c r="BD34" s="23"/>
      <c r="BE34" s="23"/>
      <c r="BF34" s="54"/>
      <c r="BG34" s="23"/>
      <c r="BH34" s="23"/>
      <c r="BI34" s="54"/>
      <c r="BJ34" s="23"/>
      <c r="BK34" s="23"/>
      <c r="BL34" s="23"/>
      <c r="BM34" s="23"/>
      <c r="BN34" s="23"/>
      <c r="BO34" s="23"/>
      <c r="BT34" s="30"/>
      <c r="BU34" s="30"/>
      <c r="BV34" s="30"/>
      <c r="BW34" s="30"/>
      <c r="BX34" s="30"/>
    </row>
    <row r="35" spans="1:76" ht="58.5" thickBot="1" x14ac:dyDescent="0.4">
      <c r="A35" s="23"/>
      <c r="B35" s="31"/>
      <c r="C35" s="68" t="s">
        <v>100</v>
      </c>
      <c r="D35" s="163">
        <f>D31+1</f>
        <v>19</v>
      </c>
      <c r="E35" s="33" t="s">
        <v>39</v>
      </c>
      <c r="F35" s="167" t="s">
        <v>20</v>
      </c>
      <c r="G35" s="173" t="s">
        <v>101</v>
      </c>
      <c r="H35" s="174" t="s">
        <v>102</v>
      </c>
      <c r="I35" s="271"/>
      <c r="J35" s="175" t="s">
        <v>103</v>
      </c>
      <c r="K35" s="174" t="s">
        <v>104</v>
      </c>
      <c r="L35" s="174" t="s">
        <v>105</v>
      </c>
      <c r="M35" s="176" t="s">
        <v>106</v>
      </c>
      <c r="N35" s="170">
        <f>IF(Project!$B$27="Off Highway",0,1)</f>
        <v>1</v>
      </c>
      <c r="O35" s="237">
        <f>IF(Scoring!O35="A",0,Scoring!O35)</f>
        <v>0</v>
      </c>
      <c r="P35" s="144">
        <f>IF(Scoring!P35="A",0,Scoring!P35)</f>
        <v>0</v>
      </c>
      <c r="Q35" s="129">
        <f t="shared" ref="Q35:Q45" si="15">IF($N35=0,0,O35)</f>
        <v>0</v>
      </c>
      <c r="R35" s="34">
        <f t="shared" ref="R35:R45" si="16">IF($N35=0,0,2)</f>
        <v>2</v>
      </c>
      <c r="S35" s="34">
        <f>IF($N35=0,0,Scoring!P35)</f>
        <v>0</v>
      </c>
      <c r="T35" s="34">
        <f t="shared" ref="T35:T45" si="17">IF($N35=0,0,2)</f>
        <v>2</v>
      </c>
      <c r="U35" s="35" t="e">
        <f>IF(VLOOKUP($H35,'How the score is generated (H)'!$B$4:$H$72,2,0)="ü",$Q35,0)</f>
        <v>#N/A</v>
      </c>
      <c r="V35" s="36" t="e">
        <f>IF(VLOOKUP($H35,'How the score is generated (H)'!$B$4:$H$72,2,0)="ü",$S35,0)</f>
        <v>#N/A</v>
      </c>
      <c r="W35" s="145" t="e">
        <f>IF($N35=0,0,IF(VLOOKUP($H35,'How the score is generated (H)'!$B$4:$H$72,2,0)="ü",2,0))</f>
        <v>#N/A</v>
      </c>
      <c r="X35" s="35" t="e">
        <f>IF(VLOOKUP($H35,'How the score is generated (H)'!$B$4:$H$72,3,0)="ü",$Q35,0)</f>
        <v>#N/A</v>
      </c>
      <c r="Y35" s="36" t="e">
        <f>IF(VLOOKUP($H35,'How the score is generated (H)'!$B$4:$H$72,3,0)="ü",$S35,0)</f>
        <v>#N/A</v>
      </c>
      <c r="Z35" s="145" t="e">
        <f>IF($N35=0,0,IF(VLOOKUP($H35,'How the score is generated (H)'!$B$4:$H$72,3,0)="ü",2,0))</f>
        <v>#N/A</v>
      </c>
      <c r="AA35" s="35" t="e">
        <f>IF(VLOOKUP($H35,'How the score is generated (H)'!$B$4:$H$72,4,0)="ü",$Q35,0)</f>
        <v>#N/A</v>
      </c>
      <c r="AB35" s="36" t="e">
        <f>IF(VLOOKUP($H35,'How the score is generated (H)'!$B$4:$H$72,4,0)="ü",$S35,0)</f>
        <v>#N/A</v>
      </c>
      <c r="AC35" s="145" t="e">
        <f>IF($N35=0,0,IF(VLOOKUP($H35,'How the score is generated (H)'!$B$4:$H$72,4,0)="ü",2,0))</f>
        <v>#N/A</v>
      </c>
      <c r="AD35" s="35" t="e">
        <f>IF(VLOOKUP($H35,'How the score is generated (H)'!$B$4:$H$72,5,0)="ü",$Q35,0)</f>
        <v>#N/A</v>
      </c>
      <c r="AE35" s="36" t="e">
        <f>IF(VLOOKUP($H35,'How the score is generated (H)'!$B$4:$H$72,5,0)="ü",$S35,0)</f>
        <v>#N/A</v>
      </c>
      <c r="AF35" s="145" t="e">
        <f>IF($N35=0,0,IF(VLOOKUP($H35,'How the score is generated (H)'!$B$4:$H$72,5,0)="ü",2,0))</f>
        <v>#N/A</v>
      </c>
      <c r="AG35" s="35" t="e">
        <f>IF(VLOOKUP($H35,'How the score is generated (H)'!$B$4:$H$72,6,0)="ü",$Q35,0)</f>
        <v>#N/A</v>
      </c>
      <c r="AH35" s="36" t="e">
        <f>IF(VLOOKUP($H35,'How the score is generated (H)'!$B$4:$H$72,6,0)="ü",$S35,0)</f>
        <v>#N/A</v>
      </c>
      <c r="AI35" s="145" t="e">
        <f>IF($N35=0,0,IF(VLOOKUP($H35,'How the score is generated (H)'!$B$4:$H$72,6,0)="ü",2,0))</f>
        <v>#N/A</v>
      </c>
      <c r="AJ35" s="35" t="e">
        <f>IF(VLOOKUP($H35,'How the score is generated (H)'!$B$4:$H$72,7,0)="ü",$Q35,0)</f>
        <v>#N/A</v>
      </c>
      <c r="AK35" s="36" t="e">
        <f>IF(VLOOKUP($H35,'How the score is generated (H)'!$B$4:$H$72,7,0)="ü",$S35,0)</f>
        <v>#N/A</v>
      </c>
      <c r="AL35" s="145" t="e">
        <f>IF($N35=0,0,IF(VLOOKUP($H35,'How the score is generated (H)'!$B$4:$H$72,7,0)="ü",2,0))</f>
        <v>#N/A</v>
      </c>
      <c r="AM35" s="35" t="e">
        <f>IF(VLOOKUP($H35,'How the score is generated (H)'!$B$4:$H$72,8,0)="ü",$Q35,0)</f>
        <v>#N/A</v>
      </c>
      <c r="AN35" s="36" t="e">
        <f>IF(VLOOKUP($H35,'How the score is generated (H)'!$B$4:$H$72,8,0)="ü",$S35,0)</f>
        <v>#N/A</v>
      </c>
      <c r="AO35" s="145" t="e">
        <f>IF($N35=0,0,IF(VLOOKUP($H35,'How the score is generated (H)'!$B$4:$H$72,8,0)="ü",2,0))</f>
        <v>#N/A</v>
      </c>
      <c r="AP35" s="23"/>
      <c r="AQ35" s="35" t="e">
        <f>IF(VLOOKUP($H35,'How the score is generated (P)'!$B$4:$I$72,2,0)="ü",$Q35,0)</f>
        <v>#N/A</v>
      </c>
      <c r="AR35" s="36" t="e">
        <f>IF(VLOOKUP($H35,'How the score is generated (P)'!$B$4:$I$72,2,0)="ü",$S35,0)</f>
        <v>#N/A</v>
      </c>
      <c r="AS35" s="145" t="e">
        <f>IF($N35=0,0,IF(VLOOKUP($H35,'How the score is generated (P)'!$B$4:$I$72,2,0)="ü",2,0))</f>
        <v>#N/A</v>
      </c>
      <c r="AT35" s="35" t="e">
        <f>IF(VLOOKUP($H35,'How the score is generated (P)'!$B$4:$I$72,3,0)="ü",$Q35,0)</f>
        <v>#N/A</v>
      </c>
      <c r="AU35" s="36" t="e">
        <f>IF(VLOOKUP($H35,'How the score is generated (P)'!$B$4:$I$72,3,0)="ü",$S35,0)</f>
        <v>#N/A</v>
      </c>
      <c r="AV35" s="145" t="e">
        <f>IF($N35=0,0,IF(VLOOKUP($H35,'How the score is generated (P)'!$B$4:$I$72,3,0)="ü",2,0))</f>
        <v>#N/A</v>
      </c>
      <c r="AW35" s="35" t="e">
        <f>IF(VLOOKUP($H35,'How the score is generated (P)'!$B$4:$I$72,4,0)="ü",$Q35,0)</f>
        <v>#N/A</v>
      </c>
      <c r="AX35" s="36" t="e">
        <f>IF(VLOOKUP($H35,'How the score is generated (P)'!$B$4:$I$72,4,0)="ü",$S35,0)</f>
        <v>#N/A</v>
      </c>
      <c r="AY35" s="145" t="e">
        <f>IF($N35=0,0,IF(VLOOKUP($H35,'How the score is generated (P)'!$B$4:$I$72,4,0)="ü",2,0))</f>
        <v>#N/A</v>
      </c>
      <c r="AZ35" s="35" t="e">
        <f>IF(VLOOKUP($H35,'How the score is generated (P)'!$B$4:$I$72,5,0)="ü",$Q35,0)</f>
        <v>#N/A</v>
      </c>
      <c r="BA35" s="36" t="e">
        <f>IF(VLOOKUP($H35,'How the score is generated (P)'!$B$4:$I$72,5,0)="ü",$S35,0)</f>
        <v>#N/A</v>
      </c>
      <c r="BB35" s="145" t="e">
        <f>IF($N35=0,0,IF(VLOOKUP($H35,'How the score is generated (P)'!$B$4:$I$72,5,0)="ü",2,0))</f>
        <v>#N/A</v>
      </c>
      <c r="BC35" s="35" t="e">
        <f>IF(VLOOKUP($H35,'How the score is generated (P)'!$B$4:$I$72,6,0)="ü",$Q35,0)</f>
        <v>#N/A</v>
      </c>
      <c r="BD35" s="36" t="e">
        <f>IF(VLOOKUP($H35,'How the score is generated (P)'!$B$4:$I$72,6,0)="ü",$S35,0)</f>
        <v>#N/A</v>
      </c>
      <c r="BE35" s="145" t="e">
        <f>IF($N35=0,0,IF(VLOOKUP($H35,'How the score is generated (P)'!$B$4:$I$72,6,0)="ü",2,0))</f>
        <v>#N/A</v>
      </c>
      <c r="BF35" s="35" t="e">
        <f>IF(VLOOKUP($H35,'How the score is generated (P)'!$B$4:$I$72,7,0)="ü",$Q35,0)</f>
        <v>#N/A</v>
      </c>
      <c r="BG35" s="36" t="e">
        <f>IF(VLOOKUP($H35,'How the score is generated (P)'!$B$4:$I$72,7,0)="ü",$S35,0)</f>
        <v>#N/A</v>
      </c>
      <c r="BH35" s="145" t="e">
        <f>IF($N35=0,0,IF(VLOOKUP($H35,'How the score is generated (P)'!$B$4:$I$72,7,0)="ü",2,0))</f>
        <v>#N/A</v>
      </c>
      <c r="BI35" s="35" t="e">
        <f>IF(VLOOKUP($H35,'How the score is generated (P)'!$B$4:$I$72,8,0)="ü",$Q35,0)</f>
        <v>#N/A</v>
      </c>
      <c r="BJ35" s="36" t="e">
        <f>IF(VLOOKUP($H35,'How the score is generated (P)'!$B$4:$I$72,8,0)="ü",$S35,0)</f>
        <v>#N/A</v>
      </c>
      <c r="BK35" s="145" t="e">
        <f>IF($N35=0,0,IF(VLOOKUP($H35,'How the score is generated (P)'!$B$4:$I$72,8,0)="ü",2,0))</f>
        <v>#N/A</v>
      </c>
      <c r="BL35" s="23"/>
      <c r="BM35" s="201"/>
      <c r="BN35" s="23"/>
      <c r="BO35" s="276" t="s">
        <v>550</v>
      </c>
      <c r="BT35" s="34"/>
      <c r="BU35" s="34" t="str">
        <f t="shared" ref="BU35:BU45" si="18">IF(BT35="Amber",IF(S35=0,"Residual Amber",""),"")</f>
        <v/>
      </c>
      <c r="BV35" s="34">
        <f t="shared" ref="BV35:BV45" si="19">IF(N35=0,"",IF(O35="","",O35))</f>
        <v>0</v>
      </c>
      <c r="BW35" s="34">
        <f t="shared" ref="BW35:BW45" si="20">IF(N35=0,"",IF(P35="","",P35))</f>
        <v>0</v>
      </c>
      <c r="BX35" s="34" t="str">
        <f t="shared" ref="BX35:BX45" si="21">D35&amp;". "&amp;H35</f>
        <v>19. Speed of traffic (where cyclists are not separated or pedestrians crossing uncontrolled)</v>
      </c>
    </row>
    <row r="36" spans="1:76" ht="95.5" customHeight="1" thickBot="1" x14ac:dyDescent="0.4">
      <c r="A36" s="23"/>
      <c r="B36" s="31"/>
      <c r="C36" s="66" t="s">
        <v>100</v>
      </c>
      <c r="D36" s="164">
        <f t="shared" ref="D36:D45" si="22">D35+1</f>
        <v>20</v>
      </c>
      <c r="E36" s="44" t="s">
        <v>39</v>
      </c>
      <c r="F36" s="168" t="s">
        <v>20</v>
      </c>
      <c r="G36" s="39" t="s">
        <v>107</v>
      </c>
      <c r="H36" s="41" t="s">
        <v>108</v>
      </c>
      <c r="I36" s="272"/>
      <c r="J36" s="40" t="s">
        <v>109</v>
      </c>
      <c r="K36" s="41" t="s">
        <v>110</v>
      </c>
      <c r="L36" s="41" t="s">
        <v>111</v>
      </c>
      <c r="M36" s="42" t="s">
        <v>112</v>
      </c>
      <c r="N36" s="170">
        <f>IF(Project!$B$27="Off Highway",0,1)</f>
        <v>1</v>
      </c>
      <c r="O36" s="237">
        <f>IF(Scoring!O36="A",0,Scoring!O36)</f>
        <v>0</v>
      </c>
      <c r="P36" s="144">
        <f>IF(Scoring!P36="A",0,Scoring!P36)</f>
        <v>0</v>
      </c>
      <c r="Q36" s="129">
        <f t="shared" si="15"/>
        <v>0</v>
      </c>
      <c r="R36" s="34">
        <f t="shared" si="16"/>
        <v>2</v>
      </c>
      <c r="S36" s="34">
        <f>IF($N36=0,0,Scoring!P36)</f>
        <v>0</v>
      </c>
      <c r="T36" s="34">
        <f t="shared" si="17"/>
        <v>2</v>
      </c>
      <c r="U36" s="35" t="e">
        <f>IF(VLOOKUP($H36,'How the score is generated (H)'!$B$4:$H$72,2,0)="ü",$Q36,0)</f>
        <v>#N/A</v>
      </c>
      <c r="V36" s="36" t="e">
        <f>IF(VLOOKUP($H36,'How the score is generated (H)'!$B$4:$H$72,2,0)="ü",$S36,0)</f>
        <v>#N/A</v>
      </c>
      <c r="W36" s="145" t="e">
        <f>IF($N36=0,0,IF(VLOOKUP($H36,'How the score is generated (H)'!$B$4:$H$72,2,0)="ü",2,0))</f>
        <v>#N/A</v>
      </c>
      <c r="X36" s="35" t="e">
        <f>IF(VLOOKUP($H36,'How the score is generated (H)'!$B$4:$H$72,3,0)="ü",$Q36,0)</f>
        <v>#N/A</v>
      </c>
      <c r="Y36" s="36" t="e">
        <f>IF(VLOOKUP($H36,'How the score is generated (H)'!$B$4:$H$72,3,0)="ü",$S36,0)</f>
        <v>#N/A</v>
      </c>
      <c r="Z36" s="145" t="e">
        <f>IF($N36=0,0,IF(VLOOKUP($H36,'How the score is generated (H)'!$B$4:$H$72,3,0)="ü",2,0))</f>
        <v>#N/A</v>
      </c>
      <c r="AA36" s="35" t="e">
        <f>IF(VLOOKUP($H36,'How the score is generated (H)'!$B$4:$H$72,4,0)="ü",$Q36,0)</f>
        <v>#N/A</v>
      </c>
      <c r="AB36" s="36" t="e">
        <f>IF(VLOOKUP($H36,'How the score is generated (H)'!$B$4:$H$72,4,0)="ü",$S36,0)</f>
        <v>#N/A</v>
      </c>
      <c r="AC36" s="145" t="e">
        <f>IF($N36=0,0,IF(VLOOKUP($H36,'How the score is generated (H)'!$B$4:$H$72,4,0)="ü",2,0))</f>
        <v>#N/A</v>
      </c>
      <c r="AD36" s="35" t="e">
        <f>IF(VLOOKUP($H36,'How the score is generated (H)'!$B$4:$H$72,5,0)="ü",$Q36,0)</f>
        <v>#N/A</v>
      </c>
      <c r="AE36" s="36" t="e">
        <f>IF(VLOOKUP($H36,'How the score is generated (H)'!$B$4:$H$72,5,0)="ü",$S36,0)</f>
        <v>#N/A</v>
      </c>
      <c r="AF36" s="145" t="e">
        <f>IF($N36=0,0,IF(VLOOKUP($H36,'How the score is generated (H)'!$B$4:$H$72,5,0)="ü",2,0))</f>
        <v>#N/A</v>
      </c>
      <c r="AG36" s="35" t="e">
        <f>IF(VLOOKUP($H36,'How the score is generated (H)'!$B$4:$H$72,6,0)="ü",$Q36,0)</f>
        <v>#N/A</v>
      </c>
      <c r="AH36" s="36" t="e">
        <f>IF(VLOOKUP($H36,'How the score is generated (H)'!$B$4:$H$72,6,0)="ü",$S36,0)</f>
        <v>#N/A</v>
      </c>
      <c r="AI36" s="145" t="e">
        <f>IF($N36=0,0,IF(VLOOKUP($H36,'How the score is generated (H)'!$B$4:$H$72,6,0)="ü",2,0))</f>
        <v>#N/A</v>
      </c>
      <c r="AJ36" s="35" t="e">
        <f>IF(VLOOKUP($H36,'How the score is generated (H)'!$B$4:$H$72,7,0)="ü",$Q36,0)</f>
        <v>#N/A</v>
      </c>
      <c r="AK36" s="36" t="e">
        <f>IF(VLOOKUP($H36,'How the score is generated (H)'!$B$4:$H$72,7,0)="ü",$S36,0)</f>
        <v>#N/A</v>
      </c>
      <c r="AL36" s="145" t="e">
        <f>IF($N36=0,0,IF(VLOOKUP($H36,'How the score is generated (H)'!$B$4:$H$72,7,0)="ü",2,0))</f>
        <v>#N/A</v>
      </c>
      <c r="AM36" s="35" t="e">
        <f>IF(VLOOKUP($H36,'How the score is generated (H)'!$B$4:$H$72,8,0)="ü",$Q36,0)</f>
        <v>#N/A</v>
      </c>
      <c r="AN36" s="36" t="e">
        <f>IF(VLOOKUP($H36,'How the score is generated (H)'!$B$4:$H$72,8,0)="ü",$S36,0)</f>
        <v>#N/A</v>
      </c>
      <c r="AO36" s="145" t="e">
        <f>IF($N36=0,0,IF(VLOOKUP($H36,'How the score is generated (H)'!$B$4:$H$72,8,0)="ü",2,0))</f>
        <v>#N/A</v>
      </c>
      <c r="AP36" s="23"/>
      <c r="AQ36" s="35" t="e">
        <f>IF(VLOOKUP($H36,'How the score is generated (P)'!$B$4:$I$72,2,0)="ü",$Q36,0)</f>
        <v>#N/A</v>
      </c>
      <c r="AR36" s="36" t="e">
        <f>IF(VLOOKUP($H36,'How the score is generated (P)'!$B$4:$I$72,2,0)="ü",$S36,0)</f>
        <v>#N/A</v>
      </c>
      <c r="AS36" s="145" t="e">
        <f>IF($N36=0,0,IF(VLOOKUP($H36,'How the score is generated (P)'!$B$4:$I$72,2,0)="ü",2,0))</f>
        <v>#N/A</v>
      </c>
      <c r="AT36" s="35" t="e">
        <f>IF(VLOOKUP($H36,'How the score is generated (P)'!$B$4:$I$72,3,0)="ü",$Q36,0)</f>
        <v>#N/A</v>
      </c>
      <c r="AU36" s="36" t="e">
        <f>IF(VLOOKUP($H36,'How the score is generated (P)'!$B$4:$I$72,3,0)="ü",$S36,0)</f>
        <v>#N/A</v>
      </c>
      <c r="AV36" s="145" t="e">
        <f>IF($N36=0,0,IF(VLOOKUP($H36,'How the score is generated (P)'!$B$4:$I$72,3,0)="ü",2,0))</f>
        <v>#N/A</v>
      </c>
      <c r="AW36" s="35" t="e">
        <f>IF(VLOOKUP($H36,'How the score is generated (P)'!$B$4:$I$72,4,0)="ü",$Q36,0)</f>
        <v>#N/A</v>
      </c>
      <c r="AX36" s="36" t="e">
        <f>IF(VLOOKUP($H36,'How the score is generated (P)'!$B$4:$I$72,4,0)="ü",$S36,0)</f>
        <v>#N/A</v>
      </c>
      <c r="AY36" s="145" t="e">
        <f>IF($N36=0,0,IF(VLOOKUP($H36,'How the score is generated (P)'!$B$4:$I$72,4,0)="ü",2,0))</f>
        <v>#N/A</v>
      </c>
      <c r="AZ36" s="35" t="e">
        <f>IF(VLOOKUP($H36,'How the score is generated (P)'!$B$4:$I$72,5,0)="ü",$Q36,0)</f>
        <v>#N/A</v>
      </c>
      <c r="BA36" s="36" t="e">
        <f>IF(VLOOKUP($H36,'How the score is generated (P)'!$B$4:$I$72,5,0)="ü",$S36,0)</f>
        <v>#N/A</v>
      </c>
      <c r="BB36" s="145" t="e">
        <f>IF($N36=0,0,IF(VLOOKUP($H36,'How the score is generated (P)'!$B$4:$I$72,5,0)="ü",2,0))</f>
        <v>#N/A</v>
      </c>
      <c r="BC36" s="35" t="e">
        <f>IF(VLOOKUP($H36,'How the score is generated (P)'!$B$4:$I$72,6,0)="ü",$Q36,0)</f>
        <v>#N/A</v>
      </c>
      <c r="BD36" s="36" t="e">
        <f>IF(VLOOKUP($H36,'How the score is generated (P)'!$B$4:$I$72,6,0)="ü",$S36,0)</f>
        <v>#N/A</v>
      </c>
      <c r="BE36" s="145" t="e">
        <f>IF($N36=0,0,IF(VLOOKUP($H36,'How the score is generated (P)'!$B$4:$I$72,6,0)="ü",2,0))</f>
        <v>#N/A</v>
      </c>
      <c r="BF36" s="35" t="e">
        <f>IF(VLOOKUP($H36,'How the score is generated (P)'!$B$4:$I$72,7,0)="ü",$Q36,0)</f>
        <v>#N/A</v>
      </c>
      <c r="BG36" s="36" t="e">
        <f>IF(VLOOKUP($H36,'How the score is generated (P)'!$B$4:$I$72,7,0)="ü",$S36,0)</f>
        <v>#N/A</v>
      </c>
      <c r="BH36" s="145" t="e">
        <f>IF($N36=0,0,IF(VLOOKUP($H36,'How the score is generated (P)'!$B$4:$I$72,7,0)="ü",2,0))</f>
        <v>#N/A</v>
      </c>
      <c r="BI36" s="35" t="e">
        <f>IF(VLOOKUP($H36,'How the score is generated (P)'!$B$4:$I$72,8,0)="ü",$Q36,0)</f>
        <v>#N/A</v>
      </c>
      <c r="BJ36" s="36" t="e">
        <f>IF(VLOOKUP($H36,'How the score is generated (P)'!$B$4:$I$72,8,0)="ü",$S36,0)</f>
        <v>#N/A</v>
      </c>
      <c r="BK36" s="145" t="e">
        <f>IF($N36=0,0,IF(VLOOKUP($H36,'How the score is generated (P)'!$B$4:$I$72,8,0)="ü",2,0))</f>
        <v>#N/A</v>
      </c>
      <c r="BL36" s="23"/>
      <c r="BM36" s="201"/>
      <c r="BN36" s="23"/>
      <c r="BO36" s="276" t="s">
        <v>493</v>
      </c>
      <c r="BT36" s="55"/>
      <c r="BU36" s="34" t="str">
        <f t="shared" si="18"/>
        <v/>
      </c>
      <c r="BV36" s="34">
        <f t="shared" si="19"/>
        <v>0</v>
      </c>
      <c r="BW36" s="34">
        <f t="shared" si="20"/>
        <v>0</v>
      </c>
      <c r="BX36" s="55" t="str">
        <f t="shared" si="21"/>
        <v>20. Total volume of traffic (where cyclists are not physically protected  or pedestrians cross uncontrolled)</v>
      </c>
    </row>
    <row r="37" spans="1:76" ht="39.5" thickBot="1" x14ac:dyDescent="0.4">
      <c r="A37" s="23"/>
      <c r="B37" s="31"/>
      <c r="C37" s="66" t="s">
        <v>100</v>
      </c>
      <c r="D37" s="164">
        <f t="shared" si="22"/>
        <v>21</v>
      </c>
      <c r="E37" s="38" t="s">
        <v>43</v>
      </c>
      <c r="F37" s="168" t="s">
        <v>20</v>
      </c>
      <c r="G37" s="39" t="s">
        <v>113</v>
      </c>
      <c r="H37" s="41" t="s">
        <v>459</v>
      </c>
      <c r="I37" s="272"/>
      <c r="J37" s="40" t="s">
        <v>456</v>
      </c>
      <c r="K37" s="41" t="s">
        <v>457</v>
      </c>
      <c r="L37" s="41" t="s">
        <v>458</v>
      </c>
      <c r="M37" s="42" t="s">
        <v>460</v>
      </c>
      <c r="N37" s="170">
        <f>IF(Project!$B$27="Off Highway",0,1)</f>
        <v>1</v>
      </c>
      <c r="O37" s="237">
        <f>IF(Scoring!O37="A",0,Scoring!O37)</f>
        <v>0</v>
      </c>
      <c r="P37" s="144">
        <f>IF(Scoring!P37="A",0,Scoring!P37)</f>
        <v>0</v>
      </c>
      <c r="Q37" s="129">
        <f t="shared" si="15"/>
        <v>0</v>
      </c>
      <c r="R37" s="34">
        <f t="shared" si="16"/>
        <v>2</v>
      </c>
      <c r="S37" s="34">
        <f>IF($N37=0,0,Scoring!P37)</f>
        <v>0</v>
      </c>
      <c r="T37" s="34">
        <f t="shared" si="17"/>
        <v>2</v>
      </c>
      <c r="U37" s="35" t="e">
        <f>IF(VLOOKUP($H37,'How the score is generated (H)'!$B$4:$H$72,2,0)="ü",$Q37,0)</f>
        <v>#N/A</v>
      </c>
      <c r="V37" s="36" t="e">
        <f>IF(VLOOKUP($H37,'How the score is generated (H)'!$B$4:$H$72,2,0)="ü",$S37,0)</f>
        <v>#N/A</v>
      </c>
      <c r="W37" s="145" t="e">
        <f>IF($N37=0,0,IF(VLOOKUP($H37,'How the score is generated (H)'!$B$4:$H$72,2,0)="ü",2,0))</f>
        <v>#N/A</v>
      </c>
      <c r="X37" s="35" t="e">
        <f>IF(VLOOKUP($H37,'How the score is generated (H)'!$B$4:$H$72,3,0)="ü",$Q37,0)</f>
        <v>#N/A</v>
      </c>
      <c r="Y37" s="36" t="e">
        <f>IF(VLOOKUP($H37,'How the score is generated (H)'!$B$4:$H$72,3,0)="ü",$S37,0)</f>
        <v>#N/A</v>
      </c>
      <c r="Z37" s="145" t="e">
        <f>IF($N37=0,0,IF(VLOOKUP($H37,'How the score is generated (H)'!$B$4:$H$72,3,0)="ü",2,0))</f>
        <v>#N/A</v>
      </c>
      <c r="AA37" s="35" t="e">
        <f>IF(VLOOKUP($H37,'How the score is generated (H)'!$B$4:$H$72,4,0)="ü",$Q37,0)</f>
        <v>#N/A</v>
      </c>
      <c r="AB37" s="36" t="e">
        <f>IF(VLOOKUP($H37,'How the score is generated (H)'!$B$4:$H$72,4,0)="ü",$S37,0)</f>
        <v>#N/A</v>
      </c>
      <c r="AC37" s="145" t="e">
        <f>IF($N37=0,0,IF(VLOOKUP($H37,'How the score is generated (H)'!$B$4:$H$72,4,0)="ü",2,0))</f>
        <v>#N/A</v>
      </c>
      <c r="AD37" s="35" t="e">
        <f>IF(VLOOKUP($H37,'How the score is generated (H)'!$B$4:$H$72,5,0)="ü",$Q37,0)</f>
        <v>#N/A</v>
      </c>
      <c r="AE37" s="36" t="e">
        <f>IF(VLOOKUP($H37,'How the score is generated (H)'!$B$4:$H$72,5,0)="ü",$S37,0)</f>
        <v>#N/A</v>
      </c>
      <c r="AF37" s="145" t="e">
        <f>IF($N37=0,0,IF(VLOOKUP($H37,'How the score is generated (H)'!$B$4:$H$72,5,0)="ü",2,0))</f>
        <v>#N/A</v>
      </c>
      <c r="AG37" s="35" t="e">
        <f>IF(VLOOKUP($H37,'How the score is generated (H)'!$B$4:$H$72,6,0)="ü",$Q37,0)</f>
        <v>#N/A</v>
      </c>
      <c r="AH37" s="36" t="e">
        <f>IF(VLOOKUP($H37,'How the score is generated (H)'!$B$4:$H$72,6,0)="ü",$S37,0)</f>
        <v>#N/A</v>
      </c>
      <c r="AI37" s="145" t="e">
        <f>IF($N37=0,0,IF(VLOOKUP($H37,'How the score is generated (H)'!$B$4:$H$72,6,0)="ü",2,0))</f>
        <v>#N/A</v>
      </c>
      <c r="AJ37" s="35" t="e">
        <f>IF(VLOOKUP($H37,'How the score is generated (H)'!$B$4:$H$72,7,0)="ü",$Q37,0)</f>
        <v>#N/A</v>
      </c>
      <c r="AK37" s="36" t="e">
        <f>IF(VLOOKUP($H37,'How the score is generated (H)'!$B$4:$H$72,7,0)="ü",$S37,0)</f>
        <v>#N/A</v>
      </c>
      <c r="AL37" s="145" t="e">
        <f>IF($N37=0,0,IF(VLOOKUP($H37,'How the score is generated (H)'!$B$4:$H$72,7,0)="ü",2,0))</f>
        <v>#N/A</v>
      </c>
      <c r="AM37" s="35" t="e">
        <f>IF(VLOOKUP($H37,'How the score is generated (H)'!$B$4:$H$72,8,0)="ü",$Q37,0)</f>
        <v>#N/A</v>
      </c>
      <c r="AN37" s="36" t="e">
        <f>IF(VLOOKUP($H37,'How the score is generated (H)'!$B$4:$H$72,8,0)="ü",$S37,0)</f>
        <v>#N/A</v>
      </c>
      <c r="AO37" s="145" t="e">
        <f>IF($N37=0,0,IF(VLOOKUP($H37,'How the score is generated (H)'!$B$4:$H$72,8,0)="ü",2,0))</f>
        <v>#N/A</v>
      </c>
      <c r="AP37" s="23"/>
      <c r="AQ37" s="35" t="e">
        <f>IF(VLOOKUP($H37,'How the score is generated (P)'!$B$4:$I$72,2,0)="ü",$Q37,0)</f>
        <v>#N/A</v>
      </c>
      <c r="AR37" s="36" t="e">
        <f>IF(VLOOKUP($H37,'How the score is generated (P)'!$B$4:$I$72,2,0)="ü",$S37,0)</f>
        <v>#N/A</v>
      </c>
      <c r="AS37" s="145" t="e">
        <f>IF($N37=0,0,IF(VLOOKUP($H37,'How the score is generated (P)'!$B$4:$I$72,2,0)="ü",2,0))</f>
        <v>#N/A</v>
      </c>
      <c r="AT37" s="35" t="e">
        <f>IF(VLOOKUP($H37,'How the score is generated (P)'!$B$4:$I$72,3,0)="ü",$Q37,0)</f>
        <v>#N/A</v>
      </c>
      <c r="AU37" s="36" t="e">
        <f>IF(VLOOKUP($H37,'How the score is generated (P)'!$B$4:$I$72,3,0)="ü",$S37,0)</f>
        <v>#N/A</v>
      </c>
      <c r="AV37" s="145" t="e">
        <f>IF($N37=0,0,IF(VLOOKUP($H37,'How the score is generated (P)'!$B$4:$I$72,3,0)="ü",2,0))</f>
        <v>#N/A</v>
      </c>
      <c r="AW37" s="35" t="e">
        <f>IF(VLOOKUP($H37,'How the score is generated (P)'!$B$4:$I$72,4,0)="ü",$Q37,0)</f>
        <v>#N/A</v>
      </c>
      <c r="AX37" s="36" t="e">
        <f>IF(VLOOKUP($H37,'How the score is generated (P)'!$B$4:$I$72,4,0)="ü",$S37,0)</f>
        <v>#N/A</v>
      </c>
      <c r="AY37" s="145" t="e">
        <f>IF($N37=0,0,IF(VLOOKUP($H37,'How the score is generated (P)'!$B$4:$I$72,4,0)="ü",2,0))</f>
        <v>#N/A</v>
      </c>
      <c r="AZ37" s="35" t="e">
        <f>IF(VLOOKUP($H37,'How the score is generated (P)'!$B$4:$I$72,5,0)="ü",$Q37,0)</f>
        <v>#N/A</v>
      </c>
      <c r="BA37" s="36" t="e">
        <f>IF(VLOOKUP($H37,'How the score is generated (P)'!$B$4:$I$72,5,0)="ü",$S37,0)</f>
        <v>#N/A</v>
      </c>
      <c r="BB37" s="145" t="e">
        <f>IF($N37=0,0,IF(VLOOKUP($H37,'How the score is generated (P)'!$B$4:$I$72,5,0)="ü",2,0))</f>
        <v>#N/A</v>
      </c>
      <c r="BC37" s="35" t="e">
        <f>IF(VLOOKUP($H37,'How the score is generated (P)'!$B$4:$I$72,6,0)="ü",$Q37,0)</f>
        <v>#N/A</v>
      </c>
      <c r="BD37" s="36" t="e">
        <f>IF(VLOOKUP($H37,'How the score is generated (P)'!$B$4:$I$72,6,0)="ü",$S37,0)</f>
        <v>#N/A</v>
      </c>
      <c r="BE37" s="145" t="e">
        <f>IF($N37=0,0,IF(VLOOKUP($H37,'How the score is generated (P)'!$B$4:$I$72,6,0)="ü",2,0))</f>
        <v>#N/A</v>
      </c>
      <c r="BF37" s="35" t="e">
        <f>IF(VLOOKUP($H37,'How the score is generated (P)'!$B$4:$I$72,7,0)="ü",$Q37,0)</f>
        <v>#N/A</v>
      </c>
      <c r="BG37" s="36" t="e">
        <f>IF(VLOOKUP($H37,'How the score is generated (P)'!$B$4:$I$72,7,0)="ü",$S37,0)</f>
        <v>#N/A</v>
      </c>
      <c r="BH37" s="145" t="e">
        <f>IF($N37=0,0,IF(VLOOKUP($H37,'How the score is generated (P)'!$B$4:$I$72,7,0)="ü",2,0))</f>
        <v>#N/A</v>
      </c>
      <c r="BI37" s="35" t="e">
        <f>IF(VLOOKUP($H37,'How the score is generated (P)'!$B$4:$I$72,8,0)="ü",$Q37,0)</f>
        <v>#N/A</v>
      </c>
      <c r="BJ37" s="36" t="e">
        <f>IF(VLOOKUP($H37,'How the score is generated (P)'!$B$4:$I$72,8,0)="ü",$S37,0)</f>
        <v>#N/A</v>
      </c>
      <c r="BK37" s="145" t="e">
        <f>IF($N37=0,0,IF(VLOOKUP($H37,'How the score is generated (P)'!$B$4:$I$72,8,0)="ü",2,0))</f>
        <v>#N/A</v>
      </c>
      <c r="BL37" s="23"/>
      <c r="BM37" s="201"/>
      <c r="BN37" s="23"/>
      <c r="BO37" s="146"/>
      <c r="BT37" s="34"/>
      <c r="BU37" s="34" t="str">
        <f t="shared" si="18"/>
        <v/>
      </c>
      <c r="BV37" s="34">
        <f t="shared" si="19"/>
        <v>0</v>
      </c>
      <c r="BW37" s="34">
        <f t="shared" si="20"/>
        <v>0</v>
      </c>
      <c r="BX37" s="34" t="str">
        <f t="shared" si="21"/>
        <v>21. Interaction with large vehicles</v>
      </c>
    </row>
    <row r="38" spans="1:76" ht="52.5" thickBot="1" x14ac:dyDescent="0.4">
      <c r="A38" s="23"/>
      <c r="B38" s="64"/>
      <c r="C38" s="66" t="s">
        <v>100</v>
      </c>
      <c r="D38" s="164">
        <f t="shared" si="22"/>
        <v>22</v>
      </c>
      <c r="E38" s="38" t="s">
        <v>43</v>
      </c>
      <c r="F38" s="168" t="s">
        <v>20</v>
      </c>
      <c r="G38" s="39" t="s">
        <v>114</v>
      </c>
      <c r="H38" s="41" t="s">
        <v>115</v>
      </c>
      <c r="I38" s="272"/>
      <c r="J38" s="40" t="s">
        <v>116</v>
      </c>
      <c r="K38" s="41" t="s">
        <v>117</v>
      </c>
      <c r="L38" s="41" t="s">
        <v>118</v>
      </c>
      <c r="M38" s="42" t="s">
        <v>119</v>
      </c>
      <c r="N38" s="170">
        <f>IF(Project!$B$27="Off Highway",0,1)</f>
        <v>1</v>
      </c>
      <c r="O38" s="237">
        <f>IF(Scoring!O38="A",0,Scoring!O38)</f>
        <v>0</v>
      </c>
      <c r="P38" s="144">
        <f>IF(Scoring!P38="A",0,Scoring!P38)</f>
        <v>0</v>
      </c>
      <c r="Q38" s="129">
        <f t="shared" si="15"/>
        <v>0</v>
      </c>
      <c r="R38" s="34">
        <f t="shared" si="16"/>
        <v>2</v>
      </c>
      <c r="S38" s="34">
        <f>IF($N38=0,0,Scoring!P38)</f>
        <v>0</v>
      </c>
      <c r="T38" s="34">
        <f t="shared" si="17"/>
        <v>2</v>
      </c>
      <c r="U38" s="35">
        <f>IF(VLOOKUP($H38,'How the score is generated (H)'!$B$4:$H$72,2,0)="ü",$Q38,0)</f>
        <v>0</v>
      </c>
      <c r="V38" s="36">
        <f>IF(VLOOKUP($H38,'How the score is generated (H)'!$B$4:$H$72,2,0)="ü",$S38,0)</f>
        <v>0</v>
      </c>
      <c r="W38" s="145">
        <f>IF($N38=0,0,IF(VLOOKUP($H38,'How the score is generated (H)'!$B$4:$H$72,2,0)="ü",2,0))</f>
        <v>0</v>
      </c>
      <c r="X38" s="35">
        <f>IF(VLOOKUP($H38,'How the score is generated (H)'!$B$4:$H$72,3,0)="ü",$Q38,0)</f>
        <v>0</v>
      </c>
      <c r="Y38" s="36">
        <f>IF(VLOOKUP($H38,'How the score is generated (H)'!$B$4:$H$72,3,0)="ü",$S38,0)</f>
        <v>0</v>
      </c>
      <c r="Z38" s="145">
        <f>IF($N38=0,0,IF(VLOOKUP($H38,'How the score is generated (H)'!$B$4:$H$72,3,0)="ü",2,0))</f>
        <v>0</v>
      </c>
      <c r="AA38" s="35">
        <f>IF(VLOOKUP($H38,'How the score is generated (H)'!$B$4:$H$72,4,0)="ü",$Q38,0)</f>
        <v>0</v>
      </c>
      <c r="AB38" s="36">
        <f>IF(VLOOKUP($H38,'How the score is generated (H)'!$B$4:$H$72,4,0)="ü",$S38,0)</f>
        <v>0</v>
      </c>
      <c r="AC38" s="145">
        <f>IF($N38=0,0,IF(VLOOKUP($H38,'How the score is generated (H)'!$B$4:$H$72,4,0)="ü",2,0))</f>
        <v>2</v>
      </c>
      <c r="AD38" s="35">
        <f>IF(VLOOKUP($H38,'How the score is generated (H)'!$B$4:$H$72,5,0)="ü",$Q38,0)</f>
        <v>0</v>
      </c>
      <c r="AE38" s="36">
        <f>IF(VLOOKUP($H38,'How the score is generated (H)'!$B$4:$H$72,5,0)="ü",$S38,0)</f>
        <v>0</v>
      </c>
      <c r="AF38" s="145">
        <f>IF($N38=0,0,IF(VLOOKUP($H38,'How the score is generated (H)'!$B$4:$H$72,5,0)="ü",2,0))</f>
        <v>0</v>
      </c>
      <c r="AG38" s="35">
        <f>IF(VLOOKUP($H38,'How the score is generated (H)'!$B$4:$H$72,6,0)="ü",$Q38,0)</f>
        <v>0</v>
      </c>
      <c r="AH38" s="36">
        <f>IF(VLOOKUP($H38,'How the score is generated (H)'!$B$4:$H$72,6,0)="ü",$S38,0)</f>
        <v>0</v>
      </c>
      <c r="AI38" s="145">
        <f>IF($N38=0,0,IF(VLOOKUP($H38,'How the score is generated (H)'!$B$4:$H$72,6,0)="ü",2,0))</f>
        <v>0</v>
      </c>
      <c r="AJ38" s="35">
        <f>IF(VLOOKUP($H38,'How the score is generated (H)'!$B$4:$H$72,7,0)="ü",$Q38,0)</f>
        <v>0</v>
      </c>
      <c r="AK38" s="36">
        <f>IF(VLOOKUP($H38,'How the score is generated (H)'!$B$4:$H$72,7,0)="ü",$S38,0)</f>
        <v>0</v>
      </c>
      <c r="AL38" s="145">
        <f>IF($N38=0,0,IF(VLOOKUP($H38,'How the score is generated (H)'!$B$4:$H$72,7,0)="ü",2,0))</f>
        <v>0</v>
      </c>
      <c r="AM38" s="35" t="e">
        <f>IF(VLOOKUP($H38,'How the score is generated (H)'!$B$4:$H$72,8,0)="ü",$Q38,0)</f>
        <v>#REF!</v>
      </c>
      <c r="AN38" s="36" t="e">
        <f>IF(VLOOKUP($H38,'How the score is generated (H)'!$B$4:$H$72,8,0)="ü",$S38,0)</f>
        <v>#REF!</v>
      </c>
      <c r="AO38" s="145" t="e">
        <f>IF($N38=0,0,IF(VLOOKUP($H38,'How the score is generated (H)'!$B$4:$H$72,8,0)="ü",2,0))</f>
        <v>#REF!</v>
      </c>
      <c r="AP38" s="23"/>
      <c r="AQ38" s="35">
        <f>IF(VLOOKUP($H38,'How the score is generated (P)'!$B$4:$I$72,2,0)="ü",$Q38,0)</f>
        <v>0</v>
      </c>
      <c r="AR38" s="36">
        <f>IF(VLOOKUP($H38,'How the score is generated (P)'!$B$4:$I$72,2,0)="ü",$S38,0)</f>
        <v>0</v>
      </c>
      <c r="AS38" s="145">
        <f>IF($N38=0,0,IF(VLOOKUP($H38,'How the score is generated (P)'!$B$4:$I$72,2,0)="ü",2,0))</f>
        <v>0</v>
      </c>
      <c r="AT38" s="35">
        <f>IF(VLOOKUP($H38,'How the score is generated (P)'!$B$4:$I$72,3,0)="ü",$Q38,0)</f>
        <v>0</v>
      </c>
      <c r="AU38" s="36">
        <f>IF(VLOOKUP($H38,'How the score is generated (P)'!$B$4:$I$72,3,0)="ü",$S38,0)</f>
        <v>0</v>
      </c>
      <c r="AV38" s="145">
        <f>IF($N38=0,0,IF(VLOOKUP($H38,'How the score is generated (P)'!$B$4:$I$72,3,0)="ü",2,0))</f>
        <v>0</v>
      </c>
      <c r="AW38" s="35">
        <f>IF(VLOOKUP($H38,'How the score is generated (P)'!$B$4:$I$72,4,0)="ü",$Q38,0)</f>
        <v>0</v>
      </c>
      <c r="AX38" s="36">
        <f>IF(VLOOKUP($H38,'How the score is generated (P)'!$B$4:$I$72,4,0)="ü",$S38,0)</f>
        <v>0</v>
      </c>
      <c r="AY38" s="145">
        <f>IF($N38=0,0,IF(VLOOKUP($H38,'How the score is generated (P)'!$B$4:$I$72,4,0)="ü",2,0))</f>
        <v>0</v>
      </c>
      <c r="AZ38" s="35">
        <f>IF(VLOOKUP($H38,'How the score is generated (P)'!$B$4:$I$72,5,0)="ü",$Q38,0)</f>
        <v>0</v>
      </c>
      <c r="BA38" s="36">
        <f>IF(VLOOKUP($H38,'How the score is generated (P)'!$B$4:$I$72,5,0)="ü",$S38,0)</f>
        <v>0</v>
      </c>
      <c r="BB38" s="145">
        <f>IF($N38=0,0,IF(VLOOKUP($H38,'How the score is generated (P)'!$B$4:$I$72,5,0)="ü",2,0))</f>
        <v>0</v>
      </c>
      <c r="BC38" s="35">
        <f>IF(VLOOKUP($H38,'How the score is generated (P)'!$B$4:$I$72,6,0)="ü",$Q38,0)</f>
        <v>0</v>
      </c>
      <c r="BD38" s="36">
        <f>IF(VLOOKUP($H38,'How the score is generated (P)'!$B$4:$I$72,6,0)="ü",$S38,0)</f>
        <v>0</v>
      </c>
      <c r="BE38" s="145">
        <f>IF($N38=0,0,IF(VLOOKUP($H38,'How the score is generated (P)'!$B$4:$I$72,6,0)="ü",2,0))</f>
        <v>0</v>
      </c>
      <c r="BF38" s="35">
        <f>IF(VLOOKUP($H38,'How the score is generated (P)'!$B$4:$I$72,7,0)="ü",$Q38,0)</f>
        <v>0</v>
      </c>
      <c r="BG38" s="36">
        <f>IF(VLOOKUP($H38,'How the score is generated (P)'!$B$4:$I$72,7,0)="ü",$S38,0)</f>
        <v>0</v>
      </c>
      <c r="BH38" s="145">
        <f>IF($N38=0,0,IF(VLOOKUP($H38,'How the score is generated (P)'!$B$4:$I$72,7,0)="ü",2,0))</f>
        <v>0</v>
      </c>
      <c r="BI38" s="35">
        <f>IF(VLOOKUP($H38,'How the score is generated (P)'!$B$4:$I$72,8,0)="ü",$Q38,0)</f>
        <v>0</v>
      </c>
      <c r="BJ38" s="36">
        <f>IF(VLOOKUP($H38,'How the score is generated (P)'!$B$4:$I$72,8,0)="ü",$S38,0)</f>
        <v>0</v>
      </c>
      <c r="BK38" s="145">
        <f>IF($N38=0,0,IF(VLOOKUP($H38,'How the score is generated (P)'!$B$4:$I$72,8,0)="ü",2,0))</f>
        <v>0</v>
      </c>
      <c r="BL38" s="23"/>
      <c r="BM38" s="201"/>
      <c r="BN38" s="23"/>
      <c r="BO38" s="146"/>
      <c r="BT38" s="34"/>
      <c r="BU38" s="34" t="str">
        <f t="shared" si="18"/>
        <v/>
      </c>
      <c r="BV38" s="34">
        <f t="shared" si="19"/>
        <v>0</v>
      </c>
      <c r="BW38" s="34">
        <f t="shared" si="20"/>
        <v>0</v>
      </c>
      <c r="BX38" s="34" t="str">
        <f t="shared" si="21"/>
        <v>22. Clear nearside space in secondary position or motor vehicle volume in primary position</v>
      </c>
    </row>
    <row r="39" spans="1:76" ht="39.5" thickBot="1" x14ac:dyDescent="0.4">
      <c r="A39" s="23"/>
      <c r="B39" s="31"/>
      <c r="C39" s="66" t="s">
        <v>100</v>
      </c>
      <c r="D39" s="164">
        <f t="shared" si="22"/>
        <v>23</v>
      </c>
      <c r="E39" s="38" t="s">
        <v>43</v>
      </c>
      <c r="F39" s="168" t="s">
        <v>20</v>
      </c>
      <c r="G39" s="39" t="s">
        <v>120</v>
      </c>
      <c r="H39" s="41" t="s">
        <v>121</v>
      </c>
      <c r="I39" s="272"/>
      <c r="J39" s="40" t="s">
        <v>122</v>
      </c>
      <c r="K39" s="41" t="s">
        <v>123</v>
      </c>
      <c r="L39" s="41" t="s">
        <v>124</v>
      </c>
      <c r="M39" s="42" t="s">
        <v>125</v>
      </c>
      <c r="N39" s="170">
        <f>IF(Project!$B$27="Off Highway",0,1)</f>
        <v>1</v>
      </c>
      <c r="O39" s="237">
        <f>IF(Scoring!O39="A",0,Scoring!O39)</f>
        <v>0</v>
      </c>
      <c r="P39" s="144">
        <f>IF(Scoring!P39="A",0,Scoring!P39)</f>
        <v>0</v>
      </c>
      <c r="Q39" s="129">
        <f t="shared" si="15"/>
        <v>0</v>
      </c>
      <c r="R39" s="34">
        <f t="shared" si="16"/>
        <v>2</v>
      </c>
      <c r="S39" s="34">
        <f>IF($N39=0,0,Scoring!P39)</f>
        <v>0</v>
      </c>
      <c r="T39" s="34">
        <f t="shared" si="17"/>
        <v>2</v>
      </c>
      <c r="U39" s="35" t="e">
        <f>IF(VLOOKUP($H39,'How the score is generated (H)'!$B$4:$H$72,2,0)="ü",$Q39,0)</f>
        <v>#N/A</v>
      </c>
      <c r="V39" s="36" t="e">
        <f>IF(VLOOKUP($H39,'How the score is generated (H)'!$B$4:$H$72,2,0)="ü",$S39,0)</f>
        <v>#N/A</v>
      </c>
      <c r="W39" s="145" t="e">
        <f>IF($N39=0,0,IF(VLOOKUP($H39,'How the score is generated (H)'!$B$4:$H$72,2,0)="ü",2,0))</f>
        <v>#N/A</v>
      </c>
      <c r="X39" s="35" t="e">
        <f>IF(VLOOKUP($H39,'How the score is generated (H)'!$B$4:$H$72,3,0)="ü",$Q39,0)</f>
        <v>#N/A</v>
      </c>
      <c r="Y39" s="36" t="e">
        <f>IF(VLOOKUP($H39,'How the score is generated (H)'!$B$4:$H$72,3,0)="ü",$S39,0)</f>
        <v>#N/A</v>
      </c>
      <c r="Z39" s="145" t="e">
        <f>IF($N39=0,0,IF(VLOOKUP($H39,'How the score is generated (H)'!$B$4:$H$72,3,0)="ü",2,0))</f>
        <v>#N/A</v>
      </c>
      <c r="AA39" s="35" t="e">
        <f>IF(VLOOKUP($H39,'How the score is generated (H)'!$B$4:$H$72,4,0)="ü",$Q39,0)</f>
        <v>#N/A</v>
      </c>
      <c r="AB39" s="36" t="e">
        <f>IF(VLOOKUP($H39,'How the score is generated (H)'!$B$4:$H$72,4,0)="ü",$S39,0)</f>
        <v>#N/A</v>
      </c>
      <c r="AC39" s="145" t="e">
        <f>IF($N39=0,0,IF(VLOOKUP($H39,'How the score is generated (H)'!$B$4:$H$72,4,0)="ü",2,0))</f>
        <v>#N/A</v>
      </c>
      <c r="AD39" s="35" t="e">
        <f>IF(VLOOKUP($H39,'How the score is generated (H)'!$B$4:$H$72,5,0)="ü",$Q39,0)</f>
        <v>#N/A</v>
      </c>
      <c r="AE39" s="36" t="e">
        <f>IF(VLOOKUP($H39,'How the score is generated (H)'!$B$4:$H$72,5,0)="ü",$S39,0)</f>
        <v>#N/A</v>
      </c>
      <c r="AF39" s="145" t="e">
        <f>IF($N39=0,0,IF(VLOOKUP($H39,'How the score is generated (H)'!$B$4:$H$72,5,0)="ü",2,0))</f>
        <v>#N/A</v>
      </c>
      <c r="AG39" s="35" t="e">
        <f>IF(VLOOKUP($H39,'How the score is generated (H)'!$B$4:$H$72,6,0)="ü",$Q39,0)</f>
        <v>#N/A</v>
      </c>
      <c r="AH39" s="36" t="e">
        <f>IF(VLOOKUP($H39,'How the score is generated (H)'!$B$4:$H$72,6,0)="ü",$S39,0)</f>
        <v>#N/A</v>
      </c>
      <c r="AI39" s="145" t="e">
        <f>IF($N39=0,0,IF(VLOOKUP($H39,'How the score is generated (H)'!$B$4:$H$72,6,0)="ü",2,0))</f>
        <v>#N/A</v>
      </c>
      <c r="AJ39" s="35" t="e">
        <f>IF(VLOOKUP($H39,'How the score is generated (H)'!$B$4:$H$72,7,0)="ü",$Q39,0)</f>
        <v>#N/A</v>
      </c>
      <c r="AK39" s="36" t="e">
        <f>IF(VLOOKUP($H39,'How the score is generated (H)'!$B$4:$H$72,7,0)="ü",$S39,0)</f>
        <v>#N/A</v>
      </c>
      <c r="AL39" s="145" t="e">
        <f>IF($N39=0,0,IF(VLOOKUP($H39,'How the score is generated (H)'!$B$4:$H$72,7,0)="ü",2,0))</f>
        <v>#N/A</v>
      </c>
      <c r="AM39" s="35" t="e">
        <f>IF(VLOOKUP($H39,'How the score is generated (H)'!$B$4:$H$72,8,0)="ü",$Q39,0)</f>
        <v>#N/A</v>
      </c>
      <c r="AN39" s="36" t="e">
        <f>IF(VLOOKUP($H39,'How the score is generated (H)'!$B$4:$H$72,8,0)="ü",$S39,0)</f>
        <v>#N/A</v>
      </c>
      <c r="AO39" s="145" t="e">
        <f>IF($N39=0,0,IF(VLOOKUP($H39,'How the score is generated (H)'!$B$4:$H$72,8,0)="ü",2,0))</f>
        <v>#N/A</v>
      </c>
      <c r="AP39" s="23"/>
      <c r="AQ39" s="35" t="e">
        <f>IF(VLOOKUP($H39,'How the score is generated (P)'!$B$4:$I$72,2,0)="ü",$Q39,0)</f>
        <v>#N/A</v>
      </c>
      <c r="AR39" s="36" t="e">
        <f>IF(VLOOKUP($H39,'How the score is generated (P)'!$B$4:$I$72,2,0)="ü",$S39,0)</f>
        <v>#N/A</v>
      </c>
      <c r="AS39" s="145" t="e">
        <f>IF($N39=0,0,IF(VLOOKUP($H39,'How the score is generated (P)'!$B$4:$I$72,2,0)="ü",2,0))</f>
        <v>#N/A</v>
      </c>
      <c r="AT39" s="35" t="e">
        <f>IF(VLOOKUP($H39,'How the score is generated (P)'!$B$4:$I$72,3,0)="ü",$Q39,0)</f>
        <v>#N/A</v>
      </c>
      <c r="AU39" s="36" t="e">
        <f>IF(VLOOKUP($H39,'How the score is generated (P)'!$B$4:$I$72,3,0)="ü",$S39,0)</f>
        <v>#N/A</v>
      </c>
      <c r="AV39" s="145" t="e">
        <f>IF($N39=0,0,IF(VLOOKUP($H39,'How the score is generated (P)'!$B$4:$I$72,3,0)="ü",2,0))</f>
        <v>#N/A</v>
      </c>
      <c r="AW39" s="35" t="e">
        <f>IF(VLOOKUP($H39,'How the score is generated (P)'!$B$4:$I$72,4,0)="ü",$Q39,0)</f>
        <v>#N/A</v>
      </c>
      <c r="AX39" s="36" t="e">
        <f>IF(VLOOKUP($H39,'How the score is generated (P)'!$B$4:$I$72,4,0)="ü",$S39,0)</f>
        <v>#N/A</v>
      </c>
      <c r="AY39" s="145" t="e">
        <f>IF($N39=0,0,IF(VLOOKUP($H39,'How the score is generated (P)'!$B$4:$I$72,4,0)="ü",2,0))</f>
        <v>#N/A</v>
      </c>
      <c r="AZ39" s="35" t="e">
        <f>IF(VLOOKUP($H39,'How the score is generated (P)'!$B$4:$I$72,5,0)="ü",$Q39,0)</f>
        <v>#N/A</v>
      </c>
      <c r="BA39" s="36" t="e">
        <f>IF(VLOOKUP($H39,'How the score is generated (P)'!$B$4:$I$72,5,0)="ü",$S39,0)</f>
        <v>#N/A</v>
      </c>
      <c r="BB39" s="145" t="e">
        <f>IF($N39=0,0,IF(VLOOKUP($H39,'How the score is generated (P)'!$B$4:$I$72,5,0)="ü",2,0))</f>
        <v>#N/A</v>
      </c>
      <c r="BC39" s="35" t="e">
        <f>IF(VLOOKUP($H39,'How the score is generated (P)'!$B$4:$I$72,6,0)="ü",$Q39,0)</f>
        <v>#N/A</v>
      </c>
      <c r="BD39" s="36" t="e">
        <f>IF(VLOOKUP($H39,'How the score is generated (P)'!$B$4:$I$72,6,0)="ü",$S39,0)</f>
        <v>#N/A</v>
      </c>
      <c r="BE39" s="145" t="e">
        <f>IF($N39=0,0,IF(VLOOKUP($H39,'How the score is generated (P)'!$B$4:$I$72,6,0)="ü",2,0))</f>
        <v>#N/A</v>
      </c>
      <c r="BF39" s="35" t="e">
        <f>IF(VLOOKUP($H39,'How the score is generated (P)'!$B$4:$I$72,7,0)="ü",$Q39,0)</f>
        <v>#N/A</v>
      </c>
      <c r="BG39" s="36" t="e">
        <f>IF(VLOOKUP($H39,'How the score is generated (P)'!$B$4:$I$72,7,0)="ü",$S39,0)</f>
        <v>#N/A</v>
      </c>
      <c r="BH39" s="145" t="e">
        <f>IF($N39=0,0,IF(VLOOKUP($H39,'How the score is generated (P)'!$B$4:$I$72,7,0)="ü",2,0))</f>
        <v>#N/A</v>
      </c>
      <c r="BI39" s="35" t="e">
        <f>IF(VLOOKUP($H39,'How the score is generated (P)'!$B$4:$I$72,8,0)="ü",$Q39,0)</f>
        <v>#N/A</v>
      </c>
      <c r="BJ39" s="36" t="e">
        <f>IF(VLOOKUP($H39,'How the score is generated (P)'!$B$4:$I$72,8,0)="ü",$S39,0)</f>
        <v>#N/A</v>
      </c>
      <c r="BK39" s="145" t="e">
        <f>IF($N39=0,0,IF(VLOOKUP($H39,'How the score is generated (P)'!$B$4:$I$72,8,0)="ü",2,0))</f>
        <v>#N/A</v>
      </c>
      <c r="BL39" s="23"/>
      <c r="BM39" s="201"/>
      <c r="BN39" s="23"/>
      <c r="BO39" s="146"/>
      <c r="BT39" s="34"/>
      <c r="BU39" s="34" t="str">
        <f t="shared" si="18"/>
        <v/>
      </c>
      <c r="BV39" s="34">
        <f t="shared" si="19"/>
        <v>0</v>
      </c>
      <c r="BW39" s="34">
        <f t="shared" si="20"/>
        <v>0</v>
      </c>
      <c r="BX39" s="34" t="str">
        <f t="shared" si="21"/>
        <v>23. Collision alongside or from behind (if cyclists if not physically protected)</v>
      </c>
    </row>
    <row r="40" spans="1:76" ht="39.5" thickBot="1" x14ac:dyDescent="0.4">
      <c r="A40" s="23"/>
      <c r="B40" s="31"/>
      <c r="C40" s="66" t="s">
        <v>100</v>
      </c>
      <c r="D40" s="164">
        <f t="shared" si="22"/>
        <v>24</v>
      </c>
      <c r="E40" s="38" t="s">
        <v>43</v>
      </c>
      <c r="F40" s="168" t="s">
        <v>20</v>
      </c>
      <c r="G40" s="39" t="s">
        <v>126</v>
      </c>
      <c r="H40" s="41" t="s">
        <v>127</v>
      </c>
      <c r="I40" s="272"/>
      <c r="J40" s="40" t="s">
        <v>128</v>
      </c>
      <c r="K40" s="41" t="s">
        <v>129</v>
      </c>
      <c r="L40" s="41" t="s">
        <v>130</v>
      </c>
      <c r="M40" s="42" t="s">
        <v>131</v>
      </c>
      <c r="N40" s="170">
        <f>IF(Project!$B$27="Off Highway",0,1)</f>
        <v>1</v>
      </c>
      <c r="O40" s="237">
        <f>IF(Scoring!O40="A",0,Scoring!O40)</f>
        <v>0</v>
      </c>
      <c r="P40" s="144">
        <f>IF(Scoring!P40="A",0,Scoring!P40)</f>
        <v>0</v>
      </c>
      <c r="Q40" s="129">
        <f t="shared" si="15"/>
        <v>0</v>
      </c>
      <c r="R40" s="34">
        <f t="shared" si="16"/>
        <v>2</v>
      </c>
      <c r="S40" s="34">
        <f>IF($N40=0,0,Scoring!P40)</f>
        <v>0</v>
      </c>
      <c r="T40" s="34">
        <f t="shared" si="17"/>
        <v>2</v>
      </c>
      <c r="U40" s="35" t="e">
        <f>IF(VLOOKUP($H40,'How the score is generated (H)'!$B$4:$H$72,2,0)="ü",$Q40,0)</f>
        <v>#N/A</v>
      </c>
      <c r="V40" s="36" t="e">
        <f>IF(VLOOKUP($H40,'How the score is generated (H)'!$B$4:$H$72,2,0)="ü",$S40,0)</f>
        <v>#N/A</v>
      </c>
      <c r="W40" s="145" t="e">
        <f>IF($N40=0,0,IF(VLOOKUP($H40,'How the score is generated (H)'!$B$4:$H$72,2,0)="ü",2,0))</f>
        <v>#N/A</v>
      </c>
      <c r="X40" s="35" t="e">
        <f>IF(VLOOKUP($H40,'How the score is generated (H)'!$B$4:$H$72,3,0)="ü",$Q40,0)</f>
        <v>#N/A</v>
      </c>
      <c r="Y40" s="36" t="e">
        <f>IF(VLOOKUP($H40,'How the score is generated (H)'!$B$4:$H$72,3,0)="ü",$S40,0)</f>
        <v>#N/A</v>
      </c>
      <c r="Z40" s="145" t="e">
        <f>IF($N40=0,0,IF(VLOOKUP($H40,'How the score is generated (H)'!$B$4:$H$72,3,0)="ü",2,0))</f>
        <v>#N/A</v>
      </c>
      <c r="AA40" s="35" t="e">
        <f>IF(VLOOKUP($H40,'How the score is generated (H)'!$B$4:$H$72,4,0)="ü",$Q40,0)</f>
        <v>#N/A</v>
      </c>
      <c r="AB40" s="36" t="e">
        <f>IF(VLOOKUP($H40,'How the score is generated (H)'!$B$4:$H$72,4,0)="ü",$S40,0)</f>
        <v>#N/A</v>
      </c>
      <c r="AC40" s="145" t="e">
        <f>IF($N40=0,0,IF(VLOOKUP($H40,'How the score is generated (H)'!$B$4:$H$72,4,0)="ü",2,0))</f>
        <v>#N/A</v>
      </c>
      <c r="AD40" s="35" t="e">
        <f>IF(VLOOKUP($H40,'How the score is generated (H)'!$B$4:$H$72,5,0)="ü",$Q40,0)</f>
        <v>#N/A</v>
      </c>
      <c r="AE40" s="36" t="e">
        <f>IF(VLOOKUP($H40,'How the score is generated (H)'!$B$4:$H$72,5,0)="ü",$S40,0)</f>
        <v>#N/A</v>
      </c>
      <c r="AF40" s="145" t="e">
        <f>IF($N40=0,0,IF(VLOOKUP($H40,'How the score is generated (H)'!$B$4:$H$72,5,0)="ü",2,0))</f>
        <v>#N/A</v>
      </c>
      <c r="AG40" s="35" t="e">
        <f>IF(VLOOKUP($H40,'How the score is generated (H)'!$B$4:$H$72,6,0)="ü",$Q40,0)</f>
        <v>#N/A</v>
      </c>
      <c r="AH40" s="36" t="e">
        <f>IF(VLOOKUP($H40,'How the score is generated (H)'!$B$4:$H$72,6,0)="ü",$S40,0)</f>
        <v>#N/A</v>
      </c>
      <c r="AI40" s="145" t="e">
        <f>IF($N40=0,0,IF(VLOOKUP($H40,'How the score is generated (H)'!$B$4:$H$72,6,0)="ü",2,0))</f>
        <v>#N/A</v>
      </c>
      <c r="AJ40" s="35" t="e">
        <f>IF(VLOOKUP($H40,'How the score is generated (H)'!$B$4:$H$72,7,0)="ü",$Q40,0)</f>
        <v>#N/A</v>
      </c>
      <c r="AK40" s="36" t="e">
        <f>IF(VLOOKUP($H40,'How the score is generated (H)'!$B$4:$H$72,7,0)="ü",$S40,0)</f>
        <v>#N/A</v>
      </c>
      <c r="AL40" s="145" t="e">
        <f>IF($N40=0,0,IF(VLOOKUP($H40,'How the score is generated (H)'!$B$4:$H$72,7,0)="ü",2,0))</f>
        <v>#N/A</v>
      </c>
      <c r="AM40" s="35" t="e">
        <f>IF(VLOOKUP($H40,'How the score is generated (H)'!$B$4:$H$72,8,0)="ü",$Q40,0)</f>
        <v>#N/A</v>
      </c>
      <c r="AN40" s="36" t="e">
        <f>IF(VLOOKUP($H40,'How the score is generated (H)'!$B$4:$H$72,8,0)="ü",$S40,0)</f>
        <v>#N/A</v>
      </c>
      <c r="AO40" s="145" t="e">
        <f>IF($N40=0,0,IF(VLOOKUP($H40,'How the score is generated (H)'!$B$4:$H$72,8,0)="ü",2,0))</f>
        <v>#N/A</v>
      </c>
      <c r="AP40" s="23"/>
      <c r="AQ40" s="35" t="e">
        <f>IF(VLOOKUP($H40,'How the score is generated (P)'!$B$4:$I$72,2,0)="ü",$Q40,0)</f>
        <v>#N/A</v>
      </c>
      <c r="AR40" s="36" t="e">
        <f>IF(VLOOKUP($H40,'How the score is generated (P)'!$B$4:$I$72,2,0)="ü",$S40,0)</f>
        <v>#N/A</v>
      </c>
      <c r="AS40" s="145" t="e">
        <f>IF($N40=0,0,IF(VLOOKUP($H40,'How the score is generated (P)'!$B$4:$I$72,2,0)="ü",2,0))</f>
        <v>#N/A</v>
      </c>
      <c r="AT40" s="35" t="e">
        <f>IF(VLOOKUP($H40,'How the score is generated (P)'!$B$4:$I$72,3,0)="ü",$Q40,0)</f>
        <v>#N/A</v>
      </c>
      <c r="AU40" s="36" t="e">
        <f>IF(VLOOKUP($H40,'How the score is generated (P)'!$B$4:$I$72,3,0)="ü",$S40,0)</f>
        <v>#N/A</v>
      </c>
      <c r="AV40" s="145" t="e">
        <f>IF($N40=0,0,IF(VLOOKUP($H40,'How the score is generated (P)'!$B$4:$I$72,3,0)="ü",2,0))</f>
        <v>#N/A</v>
      </c>
      <c r="AW40" s="35" t="e">
        <f>IF(VLOOKUP($H40,'How the score is generated (P)'!$B$4:$I$72,4,0)="ü",$Q40,0)</f>
        <v>#N/A</v>
      </c>
      <c r="AX40" s="36" t="e">
        <f>IF(VLOOKUP($H40,'How the score is generated (P)'!$B$4:$I$72,4,0)="ü",$S40,0)</f>
        <v>#N/A</v>
      </c>
      <c r="AY40" s="145" t="e">
        <f>IF($N40=0,0,IF(VLOOKUP($H40,'How the score is generated (P)'!$B$4:$I$72,4,0)="ü",2,0))</f>
        <v>#N/A</v>
      </c>
      <c r="AZ40" s="35" t="e">
        <f>IF(VLOOKUP($H40,'How the score is generated (P)'!$B$4:$I$72,5,0)="ü",$Q40,0)</f>
        <v>#N/A</v>
      </c>
      <c r="BA40" s="36" t="e">
        <f>IF(VLOOKUP($H40,'How the score is generated (P)'!$B$4:$I$72,5,0)="ü",$S40,0)</f>
        <v>#N/A</v>
      </c>
      <c r="BB40" s="145" t="e">
        <f>IF($N40=0,0,IF(VLOOKUP($H40,'How the score is generated (P)'!$B$4:$I$72,5,0)="ü",2,0))</f>
        <v>#N/A</v>
      </c>
      <c r="BC40" s="35" t="e">
        <f>IF(VLOOKUP($H40,'How the score is generated (P)'!$B$4:$I$72,6,0)="ü",$Q40,0)</f>
        <v>#N/A</v>
      </c>
      <c r="BD40" s="36" t="e">
        <f>IF(VLOOKUP($H40,'How the score is generated (P)'!$B$4:$I$72,6,0)="ü",$S40,0)</f>
        <v>#N/A</v>
      </c>
      <c r="BE40" s="145" t="e">
        <f>IF($N40=0,0,IF(VLOOKUP($H40,'How the score is generated (P)'!$B$4:$I$72,6,0)="ü",2,0))</f>
        <v>#N/A</v>
      </c>
      <c r="BF40" s="35" t="e">
        <f>IF(VLOOKUP($H40,'How the score is generated (P)'!$B$4:$I$72,7,0)="ü",$Q40,0)</f>
        <v>#N/A</v>
      </c>
      <c r="BG40" s="36" t="e">
        <f>IF(VLOOKUP($H40,'How the score is generated (P)'!$B$4:$I$72,7,0)="ü",$S40,0)</f>
        <v>#N/A</v>
      </c>
      <c r="BH40" s="145" t="e">
        <f>IF($N40=0,0,IF(VLOOKUP($H40,'How the score is generated (P)'!$B$4:$I$72,7,0)="ü",2,0))</f>
        <v>#N/A</v>
      </c>
      <c r="BI40" s="35" t="e">
        <f>IF(VLOOKUP($H40,'How the score is generated (P)'!$B$4:$I$72,8,0)="ü",$Q40,0)</f>
        <v>#N/A</v>
      </c>
      <c r="BJ40" s="36" t="e">
        <f>IF(VLOOKUP($H40,'How the score is generated (P)'!$B$4:$I$72,8,0)="ü",$S40,0)</f>
        <v>#N/A</v>
      </c>
      <c r="BK40" s="145" t="e">
        <f>IF($N40=0,0,IF(VLOOKUP($H40,'How the score is generated (P)'!$B$4:$I$72,8,0)="ü",2,0))</f>
        <v>#N/A</v>
      </c>
      <c r="BL40" s="23"/>
      <c r="BM40" s="201"/>
      <c r="BN40" s="23"/>
      <c r="BO40" s="146"/>
      <c r="BT40" s="34"/>
      <c r="BU40" s="34" t="str">
        <f t="shared" si="18"/>
        <v/>
      </c>
      <c r="BV40" s="34">
        <f t="shared" si="19"/>
        <v>0</v>
      </c>
      <c r="BW40" s="34">
        <f t="shared" si="20"/>
        <v>0</v>
      </c>
      <c r="BX40" s="34" t="str">
        <f t="shared" si="21"/>
        <v>24. Kerbside activity or risk of collision with door</v>
      </c>
    </row>
    <row r="41" spans="1:76" ht="51.75" customHeight="1" thickBot="1" x14ac:dyDescent="0.4">
      <c r="A41" s="23"/>
      <c r="B41" s="31"/>
      <c r="C41" s="66" t="s">
        <v>100</v>
      </c>
      <c r="D41" s="164">
        <f t="shared" si="22"/>
        <v>25</v>
      </c>
      <c r="E41" s="38" t="s">
        <v>43</v>
      </c>
      <c r="F41" s="168" t="s">
        <v>20</v>
      </c>
      <c r="G41" s="39" t="s">
        <v>132</v>
      </c>
      <c r="H41" s="41" t="s">
        <v>503</v>
      </c>
      <c r="I41" s="272"/>
      <c r="J41" s="45"/>
      <c r="K41" s="41" t="s">
        <v>504</v>
      </c>
      <c r="L41" s="41" t="s">
        <v>505</v>
      </c>
      <c r="M41" s="42" t="s">
        <v>506</v>
      </c>
      <c r="N41" s="170">
        <f>IF(Project!$B$27="Off Highway",0,1)</f>
        <v>1</v>
      </c>
      <c r="O41" s="237">
        <f>IF(Scoring!O41="A",0,Scoring!O41)</f>
        <v>0</v>
      </c>
      <c r="P41" s="144">
        <f>IF(Scoring!P41="A",0,Scoring!P41)</f>
        <v>0</v>
      </c>
      <c r="Q41" s="129">
        <f t="shared" si="15"/>
        <v>0</v>
      </c>
      <c r="R41" s="34">
        <f t="shared" si="16"/>
        <v>2</v>
      </c>
      <c r="S41" s="34">
        <f>IF($N41=0,0,Scoring!P41)</f>
        <v>0</v>
      </c>
      <c r="T41" s="34">
        <f t="shared" si="17"/>
        <v>2</v>
      </c>
      <c r="U41" s="35">
        <f>IF(VLOOKUP($H41,'How the score is generated (H)'!$B$4:$H$72,2,0)="ü",$Q41,0)</f>
        <v>0</v>
      </c>
      <c r="V41" s="36">
        <f>IF(VLOOKUP($H41,'How the score is generated (H)'!$B$4:$H$72,2,0)="ü",$S41,0)</f>
        <v>0</v>
      </c>
      <c r="W41" s="145">
        <f>IF($N41=0,0,IF(VLOOKUP($H41,'How the score is generated (H)'!$B$4:$H$72,2,0)="ü",2,0))</f>
        <v>0</v>
      </c>
      <c r="X41" s="35">
        <f>IF(VLOOKUP($H41,'How the score is generated (H)'!$B$4:$H$72,3,0)="ü",$Q41,0)</f>
        <v>0</v>
      </c>
      <c r="Y41" s="36">
        <f>IF(VLOOKUP($H41,'How the score is generated (H)'!$B$4:$H$72,3,0)="ü",$S41,0)</f>
        <v>0</v>
      </c>
      <c r="Z41" s="145">
        <f>IF($N41=0,0,IF(VLOOKUP($H41,'How the score is generated (H)'!$B$4:$H$72,3,0)="ü",2,0))</f>
        <v>0</v>
      </c>
      <c r="AA41" s="35">
        <f>IF(VLOOKUP($H41,'How the score is generated (H)'!$B$4:$H$72,4,0)="ü",$Q41,0)</f>
        <v>0</v>
      </c>
      <c r="AB41" s="36">
        <f>IF(VLOOKUP($H41,'How the score is generated (H)'!$B$4:$H$72,4,0)="ü",$S41,0)</f>
        <v>0</v>
      </c>
      <c r="AC41" s="145">
        <f>IF($N41=0,0,IF(VLOOKUP($H41,'How the score is generated (H)'!$B$4:$H$72,4,0)="ü",2,0))</f>
        <v>2</v>
      </c>
      <c r="AD41" s="35">
        <f>IF(VLOOKUP($H41,'How the score is generated (H)'!$B$4:$H$72,5,0)="ü",$Q41,0)</f>
        <v>0</v>
      </c>
      <c r="AE41" s="36">
        <f>IF(VLOOKUP($H41,'How the score is generated (H)'!$B$4:$H$72,5,0)="ü",$S41,0)</f>
        <v>0</v>
      </c>
      <c r="AF41" s="145">
        <f>IF($N41=0,0,IF(VLOOKUP($H41,'How the score is generated (H)'!$B$4:$H$72,5,0)="ü",2,0))</f>
        <v>0</v>
      </c>
      <c r="AG41" s="35">
        <f>IF(VLOOKUP($H41,'How the score is generated (H)'!$B$4:$H$72,6,0)="ü",$Q41,0)</f>
        <v>0</v>
      </c>
      <c r="AH41" s="36">
        <f>IF(VLOOKUP($H41,'How the score is generated (H)'!$B$4:$H$72,6,0)="ü",$S41,0)</f>
        <v>0</v>
      </c>
      <c r="AI41" s="145">
        <f>IF($N41=0,0,IF(VLOOKUP($H41,'How the score is generated (H)'!$B$4:$H$72,6,0)="ü",2,0))</f>
        <v>0</v>
      </c>
      <c r="AJ41" s="35">
        <f>IF(VLOOKUP($H41,'How the score is generated (H)'!$B$4:$H$72,7,0)="ü",$Q41,0)</f>
        <v>0</v>
      </c>
      <c r="AK41" s="36">
        <f>IF(VLOOKUP($H41,'How the score is generated (H)'!$B$4:$H$72,7,0)="ü",$S41,0)</f>
        <v>0</v>
      </c>
      <c r="AL41" s="145">
        <f>IF($N41=0,0,IF(VLOOKUP($H41,'How the score is generated (H)'!$B$4:$H$72,7,0)="ü",2,0))</f>
        <v>0</v>
      </c>
      <c r="AM41" s="35" t="e">
        <f>IF(VLOOKUP($H41,'How the score is generated (H)'!$B$4:$H$72,8,0)="ü",$Q41,0)</f>
        <v>#REF!</v>
      </c>
      <c r="AN41" s="36" t="e">
        <f>IF(VLOOKUP($H41,'How the score is generated (H)'!$B$4:$H$72,8,0)="ü",$S41,0)</f>
        <v>#REF!</v>
      </c>
      <c r="AO41" s="145" t="e">
        <f>IF($N41=0,0,IF(VLOOKUP($H41,'How the score is generated (H)'!$B$4:$H$72,8,0)="ü",2,0))</f>
        <v>#REF!</v>
      </c>
      <c r="AP41" s="23"/>
      <c r="AQ41" s="35">
        <f>IF(VLOOKUP($H41,'How the score is generated (P)'!$B$4:$I$72,2,0)="ü",$Q41,0)</f>
        <v>0</v>
      </c>
      <c r="AR41" s="36">
        <f>IF(VLOOKUP($H41,'How the score is generated (P)'!$B$4:$I$72,2,0)="ü",$S41,0)</f>
        <v>0</v>
      </c>
      <c r="AS41" s="145">
        <f>IF($N41=0,0,IF(VLOOKUP($H41,'How the score is generated (P)'!$B$4:$I$72,2,0)="ü",2,0))</f>
        <v>0</v>
      </c>
      <c r="AT41" s="35">
        <f>IF(VLOOKUP($H41,'How the score is generated (P)'!$B$4:$I$72,3,0)="ü",$Q41,0)</f>
        <v>0</v>
      </c>
      <c r="AU41" s="36">
        <f>IF(VLOOKUP($H41,'How the score is generated (P)'!$B$4:$I$72,3,0)="ü",$S41,0)</f>
        <v>0</v>
      </c>
      <c r="AV41" s="145">
        <f>IF($N41=0,0,IF(VLOOKUP($H41,'How the score is generated (P)'!$B$4:$I$72,3,0)="ü",2,0))</f>
        <v>0</v>
      </c>
      <c r="AW41" s="35">
        <f>IF(VLOOKUP($H41,'How the score is generated (P)'!$B$4:$I$72,4,0)="ü",$Q41,0)</f>
        <v>0</v>
      </c>
      <c r="AX41" s="36">
        <f>IF(VLOOKUP($H41,'How the score is generated (P)'!$B$4:$I$72,4,0)="ü",$S41,0)</f>
        <v>0</v>
      </c>
      <c r="AY41" s="145">
        <f>IF($N41=0,0,IF(VLOOKUP($H41,'How the score is generated (P)'!$B$4:$I$72,4,0)="ü",2,0))</f>
        <v>0</v>
      </c>
      <c r="AZ41" s="35">
        <f>IF(VLOOKUP($H41,'How the score is generated (P)'!$B$4:$I$72,5,0)="ü",$Q41,0)</f>
        <v>0</v>
      </c>
      <c r="BA41" s="36">
        <f>IF(VLOOKUP($H41,'How the score is generated (P)'!$B$4:$I$72,5,0)="ü",$S41,0)</f>
        <v>0</v>
      </c>
      <c r="BB41" s="145">
        <f>IF($N41=0,0,IF(VLOOKUP($H41,'How the score is generated (P)'!$B$4:$I$72,5,0)="ü",2,0))</f>
        <v>0</v>
      </c>
      <c r="BC41" s="35">
        <f>IF(VLOOKUP($H41,'How the score is generated (P)'!$B$4:$I$72,6,0)="ü",$Q41,0)</f>
        <v>0</v>
      </c>
      <c r="BD41" s="36">
        <f>IF(VLOOKUP($H41,'How the score is generated (P)'!$B$4:$I$72,6,0)="ü",$S41,0)</f>
        <v>0</v>
      </c>
      <c r="BE41" s="145">
        <f>IF($N41=0,0,IF(VLOOKUP($H41,'How the score is generated (P)'!$B$4:$I$72,6,0)="ü",2,0))</f>
        <v>0</v>
      </c>
      <c r="BF41" s="35">
        <f>IF(VLOOKUP($H41,'How the score is generated (P)'!$B$4:$I$72,7,0)="ü",$Q41,0)</f>
        <v>0</v>
      </c>
      <c r="BG41" s="36">
        <f>IF(VLOOKUP($H41,'How the score is generated (P)'!$B$4:$I$72,7,0)="ü",$S41,0)</f>
        <v>0</v>
      </c>
      <c r="BH41" s="145">
        <f>IF($N41=0,0,IF(VLOOKUP($H41,'How the score is generated (P)'!$B$4:$I$72,7,0)="ü",2,0))</f>
        <v>0</v>
      </c>
      <c r="BI41" s="35">
        <f>IF(VLOOKUP($H41,'How the score is generated (P)'!$B$4:$I$72,8,0)="ü",$Q41,0)</f>
        <v>0</v>
      </c>
      <c r="BJ41" s="36">
        <f>IF(VLOOKUP($H41,'How the score is generated (P)'!$B$4:$I$72,8,0)="ü",$S41,0)</f>
        <v>0</v>
      </c>
      <c r="BK41" s="145">
        <f>IF($N41=0,0,IF(VLOOKUP($H41,'How the score is generated (P)'!$B$4:$I$72,8,0)="ü",2,0))</f>
        <v>0</v>
      </c>
      <c r="BL41" s="23"/>
      <c r="BM41" s="201"/>
      <c r="BN41" s="23"/>
      <c r="BO41" s="146"/>
      <c r="BT41" s="34"/>
      <c r="BU41" s="34" t="str">
        <f t="shared" si="18"/>
        <v/>
      </c>
      <c r="BV41" s="34">
        <f t="shared" si="19"/>
        <v>0</v>
      </c>
      <c r="BW41" s="34">
        <f t="shared" si="20"/>
        <v>0</v>
      </c>
      <c r="BX41" s="34" t="str">
        <f t="shared" si="21"/>
        <v>25. Deviation of route end-end vs shortest road alternative</v>
      </c>
    </row>
    <row r="42" spans="1:76" ht="39.5" thickBot="1" x14ac:dyDescent="0.4">
      <c r="A42" s="23"/>
      <c r="B42" s="31"/>
      <c r="C42" s="69" t="s">
        <v>100</v>
      </c>
      <c r="D42" s="164">
        <f t="shared" si="22"/>
        <v>26</v>
      </c>
      <c r="E42" s="38" t="s">
        <v>43</v>
      </c>
      <c r="F42" s="168" t="s">
        <v>20</v>
      </c>
      <c r="G42" s="39" t="s">
        <v>133</v>
      </c>
      <c r="H42" s="41" t="s">
        <v>134</v>
      </c>
      <c r="I42" s="272"/>
      <c r="J42" s="45"/>
      <c r="K42" s="41" t="s">
        <v>135</v>
      </c>
      <c r="L42" s="41" t="s">
        <v>136</v>
      </c>
      <c r="M42" s="42" t="s">
        <v>137</v>
      </c>
      <c r="N42" s="170">
        <f>IF(Project!$B$27="Off Highway",0,1)</f>
        <v>1</v>
      </c>
      <c r="O42" s="237">
        <f>IF(Scoring!O42="A",0,Scoring!O42)</f>
        <v>0</v>
      </c>
      <c r="P42" s="144">
        <f>IF(Scoring!P42="A",0,Scoring!P42)</f>
        <v>0</v>
      </c>
      <c r="Q42" s="129">
        <f t="shared" si="15"/>
        <v>0</v>
      </c>
      <c r="R42" s="34">
        <f t="shared" si="16"/>
        <v>2</v>
      </c>
      <c r="S42" s="34">
        <f>IF($N42=0,0,Scoring!P42)</f>
        <v>0</v>
      </c>
      <c r="T42" s="34">
        <f t="shared" si="17"/>
        <v>2</v>
      </c>
      <c r="U42" s="35" t="e">
        <f>IF(VLOOKUP($H42,'How the score is generated (H)'!$B$4:$H$72,2,0)="ü",$Q42,0)</f>
        <v>#N/A</v>
      </c>
      <c r="V42" s="36" t="e">
        <f>IF(VLOOKUP($H42,'How the score is generated (H)'!$B$4:$H$72,2,0)="ü",$S42,0)</f>
        <v>#N/A</v>
      </c>
      <c r="W42" s="145" t="e">
        <f>IF($N42=0,0,IF(VLOOKUP($H42,'How the score is generated (H)'!$B$4:$H$72,2,0)="ü",2,0))</f>
        <v>#N/A</v>
      </c>
      <c r="X42" s="35" t="e">
        <f>IF(VLOOKUP($H42,'How the score is generated (H)'!$B$4:$H$72,3,0)="ü",$Q42,0)</f>
        <v>#N/A</v>
      </c>
      <c r="Y42" s="36" t="e">
        <f>IF(VLOOKUP($H42,'How the score is generated (H)'!$B$4:$H$72,3,0)="ü",$S42,0)</f>
        <v>#N/A</v>
      </c>
      <c r="Z42" s="145" t="e">
        <f>IF($N42=0,0,IF(VLOOKUP($H42,'How the score is generated (H)'!$B$4:$H$72,3,0)="ü",2,0))</f>
        <v>#N/A</v>
      </c>
      <c r="AA42" s="35" t="e">
        <f>IF(VLOOKUP($H42,'How the score is generated (H)'!$B$4:$H$72,4,0)="ü",$Q42,0)</f>
        <v>#N/A</v>
      </c>
      <c r="AB42" s="36" t="e">
        <f>IF(VLOOKUP($H42,'How the score is generated (H)'!$B$4:$H$72,4,0)="ü",$S42,0)</f>
        <v>#N/A</v>
      </c>
      <c r="AC42" s="145" t="e">
        <f>IF($N42=0,0,IF(VLOOKUP($H42,'How the score is generated (H)'!$B$4:$H$72,4,0)="ü",2,0))</f>
        <v>#N/A</v>
      </c>
      <c r="AD42" s="35" t="e">
        <f>IF(VLOOKUP($H42,'How the score is generated (H)'!$B$4:$H$72,5,0)="ü",$Q42,0)</f>
        <v>#N/A</v>
      </c>
      <c r="AE42" s="36" t="e">
        <f>IF(VLOOKUP($H42,'How the score is generated (H)'!$B$4:$H$72,5,0)="ü",$S42,0)</f>
        <v>#N/A</v>
      </c>
      <c r="AF42" s="145" t="e">
        <f>IF($N42=0,0,IF(VLOOKUP($H42,'How the score is generated (H)'!$B$4:$H$72,5,0)="ü",2,0))</f>
        <v>#N/A</v>
      </c>
      <c r="AG42" s="35" t="e">
        <f>IF(VLOOKUP($H42,'How the score is generated (H)'!$B$4:$H$72,6,0)="ü",$Q42,0)</f>
        <v>#N/A</v>
      </c>
      <c r="AH42" s="36" t="e">
        <f>IF(VLOOKUP($H42,'How the score is generated (H)'!$B$4:$H$72,6,0)="ü",$S42,0)</f>
        <v>#N/A</v>
      </c>
      <c r="AI42" s="145" t="e">
        <f>IF($N42=0,0,IF(VLOOKUP($H42,'How the score is generated (H)'!$B$4:$H$72,6,0)="ü",2,0))</f>
        <v>#N/A</v>
      </c>
      <c r="AJ42" s="35" t="e">
        <f>IF(VLOOKUP($H42,'How the score is generated (H)'!$B$4:$H$72,7,0)="ü",$Q42,0)</f>
        <v>#N/A</v>
      </c>
      <c r="AK42" s="36" t="e">
        <f>IF(VLOOKUP($H42,'How the score is generated (H)'!$B$4:$H$72,7,0)="ü",$S42,0)</f>
        <v>#N/A</v>
      </c>
      <c r="AL42" s="145" t="e">
        <f>IF($N42=0,0,IF(VLOOKUP($H42,'How the score is generated (H)'!$B$4:$H$72,7,0)="ü",2,0))</f>
        <v>#N/A</v>
      </c>
      <c r="AM42" s="35" t="e">
        <f>IF(VLOOKUP($H42,'How the score is generated (H)'!$B$4:$H$72,8,0)="ü",$Q42,0)</f>
        <v>#N/A</v>
      </c>
      <c r="AN42" s="36" t="e">
        <f>IF(VLOOKUP($H42,'How the score is generated (H)'!$B$4:$H$72,8,0)="ü",$S42,0)</f>
        <v>#N/A</v>
      </c>
      <c r="AO42" s="145" t="e">
        <f>IF($N42=0,0,IF(VLOOKUP($H42,'How the score is generated (H)'!$B$4:$H$72,8,0)="ü",2,0))</f>
        <v>#N/A</v>
      </c>
      <c r="AP42" s="23"/>
      <c r="AQ42" s="35" t="e">
        <f>IF(VLOOKUP($H42,'How the score is generated (P)'!$B$4:$I$72,2,0)="ü",$Q42,0)</f>
        <v>#N/A</v>
      </c>
      <c r="AR42" s="36" t="e">
        <f>IF(VLOOKUP($H42,'How the score is generated (P)'!$B$4:$I$72,2,0)="ü",$S42,0)</f>
        <v>#N/A</v>
      </c>
      <c r="AS42" s="145" t="e">
        <f>IF($N42=0,0,IF(VLOOKUP($H42,'How the score is generated (P)'!$B$4:$I$72,2,0)="ü",2,0))</f>
        <v>#N/A</v>
      </c>
      <c r="AT42" s="35" t="e">
        <f>IF(VLOOKUP($H42,'How the score is generated (P)'!$B$4:$I$72,3,0)="ü",$Q42,0)</f>
        <v>#N/A</v>
      </c>
      <c r="AU42" s="36" t="e">
        <f>IF(VLOOKUP($H42,'How the score is generated (P)'!$B$4:$I$72,3,0)="ü",$S42,0)</f>
        <v>#N/A</v>
      </c>
      <c r="AV42" s="145" t="e">
        <f>IF($N42=0,0,IF(VLOOKUP($H42,'How the score is generated (P)'!$B$4:$I$72,3,0)="ü",2,0))</f>
        <v>#N/A</v>
      </c>
      <c r="AW42" s="35" t="e">
        <f>IF(VLOOKUP($H42,'How the score is generated (P)'!$B$4:$I$72,4,0)="ü",$Q42,0)</f>
        <v>#N/A</v>
      </c>
      <c r="AX42" s="36" t="e">
        <f>IF(VLOOKUP($H42,'How the score is generated (P)'!$B$4:$I$72,4,0)="ü",$S42,0)</f>
        <v>#N/A</v>
      </c>
      <c r="AY42" s="145" t="e">
        <f>IF($N42=0,0,IF(VLOOKUP($H42,'How the score is generated (P)'!$B$4:$I$72,4,0)="ü",2,0))</f>
        <v>#N/A</v>
      </c>
      <c r="AZ42" s="35" t="e">
        <f>IF(VLOOKUP($H42,'How the score is generated (P)'!$B$4:$I$72,5,0)="ü",$Q42,0)</f>
        <v>#N/A</v>
      </c>
      <c r="BA42" s="36" t="e">
        <f>IF(VLOOKUP($H42,'How the score is generated (P)'!$B$4:$I$72,5,0)="ü",$S42,0)</f>
        <v>#N/A</v>
      </c>
      <c r="BB42" s="145" t="e">
        <f>IF($N42=0,0,IF(VLOOKUP($H42,'How the score is generated (P)'!$B$4:$I$72,5,0)="ü",2,0))</f>
        <v>#N/A</v>
      </c>
      <c r="BC42" s="35" t="e">
        <f>IF(VLOOKUP($H42,'How the score is generated (P)'!$B$4:$I$72,6,0)="ü",$Q42,0)</f>
        <v>#N/A</v>
      </c>
      <c r="BD42" s="36" t="e">
        <f>IF(VLOOKUP($H42,'How the score is generated (P)'!$B$4:$I$72,6,0)="ü",$S42,0)</f>
        <v>#N/A</v>
      </c>
      <c r="BE42" s="145" t="e">
        <f>IF($N42=0,0,IF(VLOOKUP($H42,'How the score is generated (P)'!$B$4:$I$72,6,0)="ü",2,0))</f>
        <v>#N/A</v>
      </c>
      <c r="BF42" s="35" t="e">
        <f>IF(VLOOKUP($H42,'How the score is generated (P)'!$B$4:$I$72,7,0)="ü",$Q42,0)</f>
        <v>#N/A</v>
      </c>
      <c r="BG42" s="36" t="e">
        <f>IF(VLOOKUP($H42,'How the score is generated (P)'!$B$4:$I$72,7,0)="ü",$S42,0)</f>
        <v>#N/A</v>
      </c>
      <c r="BH42" s="145" t="e">
        <f>IF($N42=0,0,IF(VLOOKUP($H42,'How the score is generated (P)'!$B$4:$I$72,7,0)="ü",2,0))</f>
        <v>#N/A</v>
      </c>
      <c r="BI42" s="35" t="e">
        <f>IF(VLOOKUP($H42,'How the score is generated (P)'!$B$4:$I$72,8,0)="ü",$Q42,0)</f>
        <v>#N/A</v>
      </c>
      <c r="BJ42" s="36" t="e">
        <f>IF(VLOOKUP($H42,'How the score is generated (P)'!$B$4:$I$72,8,0)="ü",$S42,0)</f>
        <v>#N/A</v>
      </c>
      <c r="BK42" s="145" t="e">
        <f>IF($N42=0,0,IF(VLOOKUP($H42,'How the score is generated (P)'!$B$4:$I$72,8,0)="ü",2,0))</f>
        <v>#N/A</v>
      </c>
      <c r="BL42" s="23"/>
      <c r="BM42" s="201"/>
      <c r="BN42" s="23"/>
      <c r="BO42" s="146"/>
      <c r="BT42" s="34"/>
      <c r="BU42" s="34" t="str">
        <f t="shared" si="18"/>
        <v/>
      </c>
      <c r="BV42" s="34">
        <f t="shared" si="19"/>
        <v>0</v>
      </c>
      <c r="BW42" s="34">
        <f t="shared" si="20"/>
        <v>0</v>
      </c>
      <c r="BX42" s="34" t="str">
        <f t="shared" si="21"/>
        <v>26. Ability to maintain own speed on links</v>
      </c>
    </row>
    <row r="43" spans="1:76" ht="39.5" thickBot="1" x14ac:dyDescent="0.4">
      <c r="A43" s="23"/>
      <c r="B43" s="31"/>
      <c r="C43" s="66" t="s">
        <v>100</v>
      </c>
      <c r="D43" s="164">
        <f t="shared" si="22"/>
        <v>27</v>
      </c>
      <c r="E43" s="38" t="s">
        <v>43</v>
      </c>
      <c r="F43" s="168" t="s">
        <v>20</v>
      </c>
      <c r="G43" s="39" t="s">
        <v>138</v>
      </c>
      <c r="H43" s="41" t="s">
        <v>139</v>
      </c>
      <c r="I43" s="272"/>
      <c r="J43" s="45"/>
      <c r="K43" s="41" t="s">
        <v>140</v>
      </c>
      <c r="L43" s="41" t="s">
        <v>141</v>
      </c>
      <c r="M43" s="42" t="s">
        <v>142</v>
      </c>
      <c r="N43" s="170">
        <f>IF(Project!$B$27="Off Highway",0,1)</f>
        <v>1</v>
      </c>
      <c r="O43" s="237">
        <f>IF(Scoring!O43="A",0,Scoring!O43)</f>
        <v>0</v>
      </c>
      <c r="P43" s="144">
        <f>IF(Scoring!P43="A",0,Scoring!P43)</f>
        <v>0</v>
      </c>
      <c r="Q43" s="129">
        <f t="shared" si="15"/>
        <v>0</v>
      </c>
      <c r="R43" s="34">
        <f t="shared" si="16"/>
        <v>2</v>
      </c>
      <c r="S43" s="34">
        <f>IF($N43=0,0,Scoring!P43)</f>
        <v>0</v>
      </c>
      <c r="T43" s="34">
        <f t="shared" si="17"/>
        <v>2</v>
      </c>
      <c r="U43" s="35">
        <f>IF(VLOOKUP($H43,'How the score is generated (H)'!$B$4:$H$72,2,0)="ü",$Q43,0)</f>
        <v>0</v>
      </c>
      <c r="V43" s="36">
        <f>IF(VLOOKUP($H43,'How the score is generated (H)'!$B$4:$H$72,2,0)="ü",$S43,0)</f>
        <v>0</v>
      </c>
      <c r="W43" s="145">
        <f>IF($N43=0,0,IF(VLOOKUP($H43,'How the score is generated (H)'!$B$4:$H$72,2,0)="ü",2,0))</f>
        <v>0</v>
      </c>
      <c r="X43" s="35">
        <f>IF(VLOOKUP($H43,'How the score is generated (H)'!$B$4:$H$72,3,0)="ü",$Q43,0)</f>
        <v>0</v>
      </c>
      <c r="Y43" s="36">
        <f>IF(VLOOKUP($H43,'How the score is generated (H)'!$B$4:$H$72,3,0)="ü",$S43,0)</f>
        <v>0</v>
      </c>
      <c r="Z43" s="145">
        <f>IF($N43=0,0,IF(VLOOKUP($H43,'How the score is generated (H)'!$B$4:$H$72,3,0)="ü",2,0))</f>
        <v>0</v>
      </c>
      <c r="AA43" s="35">
        <f>IF(VLOOKUP($H43,'How the score is generated (H)'!$B$4:$H$72,4,0)="ü",$Q43,0)</f>
        <v>0</v>
      </c>
      <c r="AB43" s="36">
        <f>IF(VLOOKUP($H43,'How the score is generated (H)'!$B$4:$H$72,4,0)="ü",$S43,0)</f>
        <v>0</v>
      </c>
      <c r="AC43" s="145">
        <f>IF($N43=0,0,IF(VLOOKUP($H43,'How the score is generated (H)'!$B$4:$H$72,4,0)="ü",2,0))</f>
        <v>2</v>
      </c>
      <c r="AD43" s="35">
        <f>IF(VLOOKUP($H43,'How the score is generated (H)'!$B$4:$H$72,5,0)="ü",$Q43,0)</f>
        <v>0</v>
      </c>
      <c r="AE43" s="36">
        <f>IF(VLOOKUP($H43,'How the score is generated (H)'!$B$4:$H$72,5,0)="ü",$S43,0)</f>
        <v>0</v>
      </c>
      <c r="AF43" s="145">
        <f>IF($N43=0,0,IF(VLOOKUP($H43,'How the score is generated (H)'!$B$4:$H$72,5,0)="ü",2,0))</f>
        <v>0</v>
      </c>
      <c r="AG43" s="35">
        <f>IF(VLOOKUP($H43,'How the score is generated (H)'!$B$4:$H$72,6,0)="ü",$Q43,0)</f>
        <v>0</v>
      </c>
      <c r="AH43" s="36">
        <f>IF(VLOOKUP($H43,'How the score is generated (H)'!$B$4:$H$72,6,0)="ü",$S43,0)</f>
        <v>0</v>
      </c>
      <c r="AI43" s="145">
        <f>IF($N43=0,0,IF(VLOOKUP($H43,'How the score is generated (H)'!$B$4:$H$72,6,0)="ü",2,0))</f>
        <v>0</v>
      </c>
      <c r="AJ43" s="35">
        <f>IF(VLOOKUP($H43,'How the score is generated (H)'!$B$4:$H$72,7,0)="ü",$Q43,0)</f>
        <v>0</v>
      </c>
      <c r="AK43" s="36">
        <f>IF(VLOOKUP($H43,'How the score is generated (H)'!$B$4:$H$72,7,0)="ü",$S43,0)</f>
        <v>0</v>
      </c>
      <c r="AL43" s="145">
        <f>IF($N43=0,0,IF(VLOOKUP($H43,'How the score is generated (H)'!$B$4:$H$72,7,0)="ü",2,0))</f>
        <v>0</v>
      </c>
      <c r="AM43" s="35" t="e">
        <f>IF(VLOOKUP($H43,'How the score is generated (H)'!$B$4:$H$72,8,0)="ü",$Q43,0)</f>
        <v>#REF!</v>
      </c>
      <c r="AN43" s="36" t="e">
        <f>IF(VLOOKUP($H43,'How the score is generated (H)'!$B$4:$H$72,8,0)="ü",$S43,0)</f>
        <v>#REF!</v>
      </c>
      <c r="AO43" s="145" t="e">
        <f>IF($N43=0,0,IF(VLOOKUP($H43,'How the score is generated (H)'!$B$4:$H$72,8,0)="ü",2,0))</f>
        <v>#REF!</v>
      </c>
      <c r="AP43" s="23"/>
      <c r="AQ43" s="35">
        <f>IF(VLOOKUP($H43,'How the score is generated (P)'!$B$4:$I$72,2,0)="ü",$Q43,0)</f>
        <v>0</v>
      </c>
      <c r="AR43" s="36">
        <f>IF(VLOOKUP($H43,'How the score is generated (P)'!$B$4:$I$72,2,0)="ü",$S43,0)</f>
        <v>0</v>
      </c>
      <c r="AS43" s="145">
        <f>IF($N43=0,0,IF(VLOOKUP($H43,'How the score is generated (P)'!$B$4:$I$72,2,0)="ü",2,0))</f>
        <v>0</v>
      </c>
      <c r="AT43" s="35">
        <f>IF(VLOOKUP($H43,'How the score is generated (P)'!$B$4:$I$72,3,0)="ü",$Q43,0)</f>
        <v>0</v>
      </c>
      <c r="AU43" s="36">
        <f>IF(VLOOKUP($H43,'How the score is generated (P)'!$B$4:$I$72,3,0)="ü",$S43,0)</f>
        <v>0</v>
      </c>
      <c r="AV43" s="145">
        <f>IF($N43=0,0,IF(VLOOKUP($H43,'How the score is generated (P)'!$B$4:$I$72,3,0)="ü",2,0))</f>
        <v>0</v>
      </c>
      <c r="AW43" s="35">
        <f>IF(VLOOKUP($H43,'How the score is generated (P)'!$B$4:$I$72,4,0)="ü",$Q43,0)</f>
        <v>0</v>
      </c>
      <c r="AX43" s="36">
        <f>IF(VLOOKUP($H43,'How the score is generated (P)'!$B$4:$I$72,4,0)="ü",$S43,0)</f>
        <v>0</v>
      </c>
      <c r="AY43" s="145">
        <f>IF($N43=0,0,IF(VLOOKUP($H43,'How the score is generated (P)'!$B$4:$I$72,4,0)="ü",2,0))</f>
        <v>0</v>
      </c>
      <c r="AZ43" s="35">
        <f>IF(VLOOKUP($H43,'How the score is generated (P)'!$B$4:$I$72,5,0)="ü",$Q43,0)</f>
        <v>0</v>
      </c>
      <c r="BA43" s="36">
        <f>IF(VLOOKUP($H43,'How the score is generated (P)'!$B$4:$I$72,5,0)="ü",$S43,0)</f>
        <v>0</v>
      </c>
      <c r="BB43" s="145">
        <f>IF($N43=0,0,IF(VLOOKUP($H43,'How the score is generated (P)'!$B$4:$I$72,5,0)="ü",2,0))</f>
        <v>0</v>
      </c>
      <c r="BC43" s="35">
        <f>IF(VLOOKUP($H43,'How the score is generated (P)'!$B$4:$I$72,6,0)="ü",$Q43,0)</f>
        <v>0</v>
      </c>
      <c r="BD43" s="36">
        <f>IF(VLOOKUP($H43,'How the score is generated (P)'!$B$4:$I$72,6,0)="ü",$S43,0)</f>
        <v>0</v>
      </c>
      <c r="BE43" s="145">
        <f>IF($N43=0,0,IF(VLOOKUP($H43,'How the score is generated (P)'!$B$4:$I$72,6,0)="ü",2,0))</f>
        <v>0</v>
      </c>
      <c r="BF43" s="35">
        <f>IF(VLOOKUP($H43,'How the score is generated (P)'!$B$4:$I$72,7,0)="ü",$Q43,0)</f>
        <v>0</v>
      </c>
      <c r="BG43" s="36">
        <f>IF(VLOOKUP($H43,'How the score is generated (P)'!$B$4:$I$72,7,0)="ü",$S43,0)</f>
        <v>0</v>
      </c>
      <c r="BH43" s="145">
        <f>IF($N43=0,0,IF(VLOOKUP($H43,'How the score is generated (P)'!$B$4:$I$72,7,0)="ü",2,0))</f>
        <v>0</v>
      </c>
      <c r="BI43" s="35">
        <f>IF(VLOOKUP($H43,'How the score is generated (P)'!$B$4:$I$72,8,0)="ü",$Q43,0)</f>
        <v>0</v>
      </c>
      <c r="BJ43" s="36">
        <f>IF(VLOOKUP($H43,'How the score is generated (P)'!$B$4:$I$72,8,0)="ü",$S43,0)</f>
        <v>0</v>
      </c>
      <c r="BK43" s="145">
        <f>IF($N43=0,0,IF(VLOOKUP($H43,'How the score is generated (P)'!$B$4:$I$72,8,0)="ü",2,0))</f>
        <v>0</v>
      </c>
      <c r="BL43" s="23"/>
      <c r="BM43" s="201"/>
      <c r="BN43" s="23"/>
      <c r="BO43" s="146"/>
      <c r="BT43" s="34"/>
      <c r="BU43" s="34" t="str">
        <f t="shared" si="18"/>
        <v/>
      </c>
      <c r="BV43" s="34">
        <f t="shared" si="19"/>
        <v>0</v>
      </c>
      <c r="BW43" s="34">
        <f t="shared" si="20"/>
        <v>0</v>
      </c>
      <c r="BX43" s="34" t="str">
        <f t="shared" si="21"/>
        <v>27. Ability to join/leave route safely and easily</v>
      </c>
    </row>
    <row r="44" spans="1:76" ht="26.5" thickBot="1" x14ac:dyDescent="0.4">
      <c r="A44" s="23"/>
      <c r="B44" s="31"/>
      <c r="C44" s="66" t="s">
        <v>100</v>
      </c>
      <c r="D44" s="164">
        <f t="shared" si="22"/>
        <v>28</v>
      </c>
      <c r="E44" s="38" t="s">
        <v>43</v>
      </c>
      <c r="F44" s="168" t="s">
        <v>20</v>
      </c>
      <c r="G44" s="39" t="s">
        <v>143</v>
      </c>
      <c r="H44" s="41" t="s">
        <v>144</v>
      </c>
      <c r="I44" s="272"/>
      <c r="J44" s="40" t="s">
        <v>145</v>
      </c>
      <c r="K44" s="41" t="s">
        <v>146</v>
      </c>
      <c r="L44" s="41" t="s">
        <v>147</v>
      </c>
      <c r="M44" s="42" t="s">
        <v>148</v>
      </c>
      <c r="N44" s="170">
        <f>IF(Project!$B$27="Off Highway",0,1)</f>
        <v>1</v>
      </c>
      <c r="O44" s="237">
        <f>IF(Scoring!O44="A",0,Scoring!O44)</f>
        <v>0</v>
      </c>
      <c r="P44" s="144">
        <f>IF(Scoring!P44="A",0,Scoring!P44)</f>
        <v>0</v>
      </c>
      <c r="Q44" s="129">
        <f t="shared" si="15"/>
        <v>0</v>
      </c>
      <c r="R44" s="34">
        <f t="shared" si="16"/>
        <v>2</v>
      </c>
      <c r="S44" s="34">
        <f>IF($N44=0,0,Scoring!P44)</f>
        <v>0</v>
      </c>
      <c r="T44" s="34">
        <f t="shared" si="17"/>
        <v>2</v>
      </c>
      <c r="U44" s="35" t="e">
        <f>IF(VLOOKUP($H44,'How the score is generated (H)'!$B$4:$H$72,2,0)="ü",$Q44,0)</f>
        <v>#N/A</v>
      </c>
      <c r="V44" s="36" t="e">
        <f>IF(VLOOKUP($H44,'How the score is generated (H)'!$B$4:$H$72,2,0)="ü",$S44,0)</f>
        <v>#N/A</v>
      </c>
      <c r="W44" s="145" t="e">
        <f>IF($N44=0,0,IF(VLOOKUP($H44,'How the score is generated (H)'!$B$4:$H$72,2,0)="ü",2,0))</f>
        <v>#N/A</v>
      </c>
      <c r="X44" s="35" t="e">
        <f>IF(VLOOKUP($H44,'How the score is generated (H)'!$B$4:$H$72,3,0)="ü",$Q44,0)</f>
        <v>#N/A</v>
      </c>
      <c r="Y44" s="36" t="e">
        <f>IF(VLOOKUP($H44,'How the score is generated (H)'!$B$4:$H$72,3,0)="ü",$S44,0)</f>
        <v>#N/A</v>
      </c>
      <c r="Z44" s="145" t="e">
        <f>IF($N44=0,0,IF(VLOOKUP($H44,'How the score is generated (H)'!$B$4:$H$72,3,0)="ü",2,0))</f>
        <v>#N/A</v>
      </c>
      <c r="AA44" s="35" t="e">
        <f>IF(VLOOKUP($H44,'How the score is generated (H)'!$B$4:$H$72,4,0)="ü",$Q44,0)</f>
        <v>#N/A</v>
      </c>
      <c r="AB44" s="36" t="e">
        <f>IF(VLOOKUP($H44,'How the score is generated (H)'!$B$4:$H$72,4,0)="ü",$S44,0)</f>
        <v>#N/A</v>
      </c>
      <c r="AC44" s="145" t="e">
        <f>IF($N44=0,0,IF(VLOOKUP($H44,'How the score is generated (H)'!$B$4:$H$72,4,0)="ü",2,0))</f>
        <v>#N/A</v>
      </c>
      <c r="AD44" s="35" t="e">
        <f>IF(VLOOKUP($H44,'How the score is generated (H)'!$B$4:$H$72,5,0)="ü",$Q44,0)</f>
        <v>#N/A</v>
      </c>
      <c r="AE44" s="36" t="e">
        <f>IF(VLOOKUP($H44,'How the score is generated (H)'!$B$4:$H$72,5,0)="ü",$S44,0)</f>
        <v>#N/A</v>
      </c>
      <c r="AF44" s="145" t="e">
        <f>IF($N44=0,0,IF(VLOOKUP($H44,'How the score is generated (H)'!$B$4:$H$72,5,0)="ü",2,0))</f>
        <v>#N/A</v>
      </c>
      <c r="AG44" s="35" t="e">
        <f>IF(VLOOKUP($H44,'How the score is generated (H)'!$B$4:$H$72,6,0)="ü",$Q44,0)</f>
        <v>#N/A</v>
      </c>
      <c r="AH44" s="36" t="e">
        <f>IF(VLOOKUP($H44,'How the score is generated (H)'!$B$4:$H$72,6,0)="ü",$S44,0)</f>
        <v>#N/A</v>
      </c>
      <c r="AI44" s="145" t="e">
        <f>IF($N44=0,0,IF(VLOOKUP($H44,'How the score is generated (H)'!$B$4:$H$72,6,0)="ü",2,0))</f>
        <v>#N/A</v>
      </c>
      <c r="AJ44" s="35" t="e">
        <f>IF(VLOOKUP($H44,'How the score is generated (H)'!$B$4:$H$72,7,0)="ü",$Q44,0)</f>
        <v>#N/A</v>
      </c>
      <c r="AK44" s="36" t="e">
        <f>IF(VLOOKUP($H44,'How the score is generated (H)'!$B$4:$H$72,7,0)="ü",$S44,0)</f>
        <v>#N/A</v>
      </c>
      <c r="AL44" s="145" t="e">
        <f>IF($N44=0,0,IF(VLOOKUP($H44,'How the score is generated (H)'!$B$4:$H$72,7,0)="ü",2,0))</f>
        <v>#N/A</v>
      </c>
      <c r="AM44" s="35" t="e">
        <f>IF(VLOOKUP($H44,'How the score is generated (H)'!$B$4:$H$72,8,0)="ü",$Q44,0)</f>
        <v>#N/A</v>
      </c>
      <c r="AN44" s="36" t="e">
        <f>IF(VLOOKUP($H44,'How the score is generated (H)'!$B$4:$H$72,8,0)="ü",$S44,0)</f>
        <v>#N/A</v>
      </c>
      <c r="AO44" s="145" t="e">
        <f>IF($N44=0,0,IF(VLOOKUP($H44,'How the score is generated (H)'!$B$4:$H$72,8,0)="ü",2,0))</f>
        <v>#N/A</v>
      </c>
      <c r="AP44" s="23"/>
      <c r="AQ44" s="35" t="e">
        <f>IF(VLOOKUP($H44,'How the score is generated (P)'!$B$4:$I$72,2,0)="ü",$Q44,0)</f>
        <v>#N/A</v>
      </c>
      <c r="AR44" s="36" t="e">
        <f>IF(VLOOKUP($H44,'How the score is generated (P)'!$B$4:$I$72,2,0)="ü",$S44,0)</f>
        <v>#N/A</v>
      </c>
      <c r="AS44" s="145" t="e">
        <f>IF($N44=0,0,IF(VLOOKUP($H44,'How the score is generated (P)'!$B$4:$I$72,2,0)="ü",2,0))</f>
        <v>#N/A</v>
      </c>
      <c r="AT44" s="35" t="e">
        <f>IF(VLOOKUP($H44,'How the score is generated (P)'!$B$4:$I$72,3,0)="ü",$Q44,0)</f>
        <v>#N/A</v>
      </c>
      <c r="AU44" s="36" t="e">
        <f>IF(VLOOKUP($H44,'How the score is generated (P)'!$B$4:$I$72,3,0)="ü",$S44,0)</f>
        <v>#N/A</v>
      </c>
      <c r="AV44" s="145" t="e">
        <f>IF($N44=0,0,IF(VLOOKUP($H44,'How the score is generated (P)'!$B$4:$I$72,3,0)="ü",2,0))</f>
        <v>#N/A</v>
      </c>
      <c r="AW44" s="35" t="e">
        <f>IF(VLOOKUP($H44,'How the score is generated (P)'!$B$4:$I$72,4,0)="ü",$Q44,0)</f>
        <v>#N/A</v>
      </c>
      <c r="AX44" s="36" t="e">
        <f>IF(VLOOKUP($H44,'How the score is generated (P)'!$B$4:$I$72,4,0)="ü",$S44,0)</f>
        <v>#N/A</v>
      </c>
      <c r="AY44" s="145" t="e">
        <f>IF($N44=0,0,IF(VLOOKUP($H44,'How the score is generated (P)'!$B$4:$I$72,4,0)="ü",2,0))</f>
        <v>#N/A</v>
      </c>
      <c r="AZ44" s="35" t="e">
        <f>IF(VLOOKUP($H44,'How the score is generated (P)'!$B$4:$I$72,5,0)="ü",$Q44,0)</f>
        <v>#N/A</v>
      </c>
      <c r="BA44" s="36" t="e">
        <f>IF(VLOOKUP($H44,'How the score is generated (P)'!$B$4:$I$72,5,0)="ü",$S44,0)</f>
        <v>#N/A</v>
      </c>
      <c r="BB44" s="145" t="e">
        <f>IF($N44=0,0,IF(VLOOKUP($H44,'How the score is generated (P)'!$B$4:$I$72,5,0)="ü",2,0))</f>
        <v>#N/A</v>
      </c>
      <c r="BC44" s="35" t="e">
        <f>IF(VLOOKUP($H44,'How the score is generated (P)'!$B$4:$I$72,6,0)="ü",$Q44,0)</f>
        <v>#N/A</v>
      </c>
      <c r="BD44" s="36" t="e">
        <f>IF(VLOOKUP($H44,'How the score is generated (P)'!$B$4:$I$72,6,0)="ü",$S44,0)</f>
        <v>#N/A</v>
      </c>
      <c r="BE44" s="145" t="e">
        <f>IF($N44=0,0,IF(VLOOKUP($H44,'How the score is generated (P)'!$B$4:$I$72,6,0)="ü",2,0))</f>
        <v>#N/A</v>
      </c>
      <c r="BF44" s="35" t="e">
        <f>IF(VLOOKUP($H44,'How the score is generated (P)'!$B$4:$I$72,7,0)="ü",$Q44,0)</f>
        <v>#N/A</v>
      </c>
      <c r="BG44" s="36" t="e">
        <f>IF(VLOOKUP($H44,'How the score is generated (P)'!$B$4:$I$72,7,0)="ü",$S44,0)</f>
        <v>#N/A</v>
      </c>
      <c r="BH44" s="145" t="e">
        <f>IF($N44=0,0,IF(VLOOKUP($H44,'How the score is generated (P)'!$B$4:$I$72,7,0)="ü",2,0))</f>
        <v>#N/A</v>
      </c>
      <c r="BI44" s="35" t="e">
        <f>IF(VLOOKUP($H44,'How the score is generated (P)'!$B$4:$I$72,8,0)="ü",$Q44,0)</f>
        <v>#N/A</v>
      </c>
      <c r="BJ44" s="36" t="e">
        <f>IF(VLOOKUP($H44,'How the score is generated (P)'!$B$4:$I$72,8,0)="ü",$S44,0)</f>
        <v>#N/A</v>
      </c>
      <c r="BK44" s="145" t="e">
        <f>IF($N44=0,0,IF(VLOOKUP($H44,'How the score is generated (P)'!$B$4:$I$72,8,0)="ü",2,0))</f>
        <v>#N/A</v>
      </c>
      <c r="BL44" s="23"/>
      <c r="BM44" s="201"/>
      <c r="BN44" s="23"/>
      <c r="BO44" s="146"/>
      <c r="BT44" s="34"/>
      <c r="BU44" s="34" t="str">
        <f t="shared" si="18"/>
        <v/>
      </c>
      <c r="BV44" s="34">
        <f t="shared" si="19"/>
        <v>0</v>
      </c>
      <c r="BW44" s="34">
        <f t="shared" si="20"/>
        <v>0</v>
      </c>
      <c r="BX44" s="34" t="str">
        <f t="shared" si="21"/>
        <v>28. Defects: non cycle friendly ironworks, raised/ sunken covers/gullies</v>
      </c>
    </row>
    <row r="45" spans="1:76" ht="52.5" thickBot="1" x14ac:dyDescent="0.4">
      <c r="A45" s="23"/>
      <c r="B45" s="31"/>
      <c r="C45" s="66" t="s">
        <v>100</v>
      </c>
      <c r="D45" s="164">
        <f t="shared" si="22"/>
        <v>29</v>
      </c>
      <c r="E45" s="38" t="s">
        <v>43</v>
      </c>
      <c r="F45" s="168" t="s">
        <v>20</v>
      </c>
      <c r="G45" s="39" t="s">
        <v>149</v>
      </c>
      <c r="H45" s="41" t="s">
        <v>150</v>
      </c>
      <c r="I45" s="272"/>
      <c r="J45" s="45"/>
      <c r="K45" s="41" t="s">
        <v>151</v>
      </c>
      <c r="L45" s="41" t="s">
        <v>152</v>
      </c>
      <c r="M45" s="42" t="s">
        <v>153</v>
      </c>
      <c r="N45" s="170">
        <f>IF(Project!$B$27="Off Highway",0,1)</f>
        <v>1</v>
      </c>
      <c r="O45" s="237">
        <f>IF(Scoring!O45="A",0,Scoring!O45)</f>
        <v>0</v>
      </c>
      <c r="P45" s="144">
        <f>IF(Scoring!P45="A",0,Scoring!P45)</f>
        <v>0</v>
      </c>
      <c r="Q45" s="129">
        <f t="shared" si="15"/>
        <v>0</v>
      </c>
      <c r="R45" s="34">
        <f t="shared" si="16"/>
        <v>2</v>
      </c>
      <c r="S45" s="34">
        <f>IF($N45=0,0,Scoring!P45)</f>
        <v>0</v>
      </c>
      <c r="T45" s="34">
        <f t="shared" si="17"/>
        <v>2</v>
      </c>
      <c r="U45" s="35" t="e">
        <f>IF(VLOOKUP($H45,'How the score is generated (H)'!$B$4:$H$72,2,0)="ü",$Q45,0)</f>
        <v>#N/A</v>
      </c>
      <c r="V45" s="36" t="e">
        <f>IF(VLOOKUP($H45,'How the score is generated (H)'!$B$4:$H$72,2,0)="ü",$S45,0)</f>
        <v>#N/A</v>
      </c>
      <c r="W45" s="145" t="e">
        <f>IF($N45=0,0,IF(VLOOKUP($H45,'How the score is generated (H)'!$B$4:$H$72,2,0)="ü",2,0))</f>
        <v>#N/A</v>
      </c>
      <c r="X45" s="35" t="e">
        <f>IF(VLOOKUP($H45,'How the score is generated (H)'!$B$4:$H$72,3,0)="ü",$Q45,0)</f>
        <v>#N/A</v>
      </c>
      <c r="Y45" s="36" t="e">
        <f>IF(VLOOKUP($H45,'How the score is generated (H)'!$B$4:$H$72,3,0)="ü",$S45,0)</f>
        <v>#N/A</v>
      </c>
      <c r="Z45" s="145" t="e">
        <f>IF($N45=0,0,IF(VLOOKUP($H45,'How the score is generated (H)'!$B$4:$H$72,3,0)="ü",2,0))</f>
        <v>#N/A</v>
      </c>
      <c r="AA45" s="35" t="e">
        <f>IF(VLOOKUP($H45,'How the score is generated (H)'!$B$4:$H$72,4,0)="ü",$Q45,0)</f>
        <v>#N/A</v>
      </c>
      <c r="AB45" s="36" t="e">
        <f>IF(VLOOKUP($H45,'How the score is generated (H)'!$B$4:$H$72,4,0)="ü",$S45,0)</f>
        <v>#N/A</v>
      </c>
      <c r="AC45" s="145" t="e">
        <f>IF($N45=0,0,IF(VLOOKUP($H45,'How the score is generated (H)'!$B$4:$H$72,4,0)="ü",2,0))</f>
        <v>#N/A</v>
      </c>
      <c r="AD45" s="35" t="e">
        <f>IF(VLOOKUP($H45,'How the score is generated (H)'!$B$4:$H$72,5,0)="ü",$Q45,0)</f>
        <v>#N/A</v>
      </c>
      <c r="AE45" s="36" t="e">
        <f>IF(VLOOKUP($H45,'How the score is generated (H)'!$B$4:$H$72,5,0)="ü",$S45,0)</f>
        <v>#N/A</v>
      </c>
      <c r="AF45" s="145" t="e">
        <f>IF($N45=0,0,IF(VLOOKUP($H45,'How the score is generated (H)'!$B$4:$H$72,5,0)="ü",2,0))</f>
        <v>#N/A</v>
      </c>
      <c r="AG45" s="35" t="e">
        <f>IF(VLOOKUP($H45,'How the score is generated (H)'!$B$4:$H$72,6,0)="ü",$Q45,0)</f>
        <v>#N/A</v>
      </c>
      <c r="AH45" s="36" t="e">
        <f>IF(VLOOKUP($H45,'How the score is generated (H)'!$B$4:$H$72,6,0)="ü",$S45,0)</f>
        <v>#N/A</v>
      </c>
      <c r="AI45" s="145" t="e">
        <f>IF($N45=0,0,IF(VLOOKUP($H45,'How the score is generated (H)'!$B$4:$H$72,6,0)="ü",2,0))</f>
        <v>#N/A</v>
      </c>
      <c r="AJ45" s="35" t="e">
        <f>IF(VLOOKUP($H45,'How the score is generated (H)'!$B$4:$H$72,7,0)="ü",$Q45,0)</f>
        <v>#N/A</v>
      </c>
      <c r="AK45" s="36" t="e">
        <f>IF(VLOOKUP($H45,'How the score is generated (H)'!$B$4:$H$72,7,0)="ü",$S45,0)</f>
        <v>#N/A</v>
      </c>
      <c r="AL45" s="145" t="e">
        <f>IF($N45=0,0,IF(VLOOKUP($H45,'How the score is generated (H)'!$B$4:$H$72,7,0)="ü",2,0))</f>
        <v>#N/A</v>
      </c>
      <c r="AM45" s="35" t="e">
        <f>IF(VLOOKUP($H45,'How the score is generated (H)'!$B$4:$H$72,8,0)="ü",$Q45,0)</f>
        <v>#N/A</v>
      </c>
      <c r="AN45" s="36" t="e">
        <f>IF(VLOOKUP($H45,'How the score is generated (H)'!$B$4:$H$72,8,0)="ü",$S45,0)</f>
        <v>#N/A</v>
      </c>
      <c r="AO45" s="145" t="e">
        <f>IF($N45=0,0,IF(VLOOKUP($H45,'How the score is generated (H)'!$B$4:$H$72,8,0)="ü",2,0))</f>
        <v>#N/A</v>
      </c>
      <c r="AP45" s="23"/>
      <c r="AQ45" s="35" t="e">
        <f>IF(VLOOKUP($H45,'How the score is generated (P)'!$B$4:$I$72,2,0)="ü",$Q45,0)</f>
        <v>#N/A</v>
      </c>
      <c r="AR45" s="36" t="e">
        <f>IF(VLOOKUP($H45,'How the score is generated (P)'!$B$4:$I$72,2,0)="ü",$S45,0)</f>
        <v>#N/A</v>
      </c>
      <c r="AS45" s="145" t="e">
        <f>IF($N45=0,0,IF(VLOOKUP($H45,'How the score is generated (P)'!$B$4:$I$72,2,0)="ü",2,0))</f>
        <v>#N/A</v>
      </c>
      <c r="AT45" s="35" t="e">
        <f>IF(VLOOKUP($H45,'How the score is generated (P)'!$B$4:$I$72,3,0)="ü",$Q45,0)</f>
        <v>#N/A</v>
      </c>
      <c r="AU45" s="36" t="e">
        <f>IF(VLOOKUP($H45,'How the score is generated (P)'!$B$4:$I$72,3,0)="ü",$S45,0)</f>
        <v>#N/A</v>
      </c>
      <c r="AV45" s="145" t="e">
        <f>IF($N45=0,0,IF(VLOOKUP($H45,'How the score is generated (P)'!$B$4:$I$72,3,0)="ü",2,0))</f>
        <v>#N/A</v>
      </c>
      <c r="AW45" s="35" t="e">
        <f>IF(VLOOKUP($H45,'How the score is generated (P)'!$B$4:$I$72,4,0)="ü",$Q45,0)</f>
        <v>#N/A</v>
      </c>
      <c r="AX45" s="36" t="e">
        <f>IF(VLOOKUP($H45,'How the score is generated (P)'!$B$4:$I$72,4,0)="ü",$S45,0)</f>
        <v>#N/A</v>
      </c>
      <c r="AY45" s="145" t="e">
        <f>IF($N45=0,0,IF(VLOOKUP($H45,'How the score is generated (P)'!$B$4:$I$72,4,0)="ü",2,0))</f>
        <v>#N/A</v>
      </c>
      <c r="AZ45" s="35" t="e">
        <f>IF(VLOOKUP($H45,'How the score is generated (P)'!$B$4:$I$72,5,0)="ü",$Q45,0)</f>
        <v>#N/A</v>
      </c>
      <c r="BA45" s="36" t="e">
        <f>IF(VLOOKUP($H45,'How the score is generated (P)'!$B$4:$I$72,5,0)="ü",$S45,0)</f>
        <v>#N/A</v>
      </c>
      <c r="BB45" s="145" t="e">
        <f>IF($N45=0,0,IF(VLOOKUP($H45,'How the score is generated (P)'!$B$4:$I$72,5,0)="ü",2,0))</f>
        <v>#N/A</v>
      </c>
      <c r="BC45" s="35" t="e">
        <f>IF(VLOOKUP($H45,'How the score is generated (P)'!$B$4:$I$72,6,0)="ü",$Q45,0)</f>
        <v>#N/A</v>
      </c>
      <c r="BD45" s="36" t="e">
        <f>IF(VLOOKUP($H45,'How the score is generated (P)'!$B$4:$I$72,6,0)="ü",$S45,0)</f>
        <v>#N/A</v>
      </c>
      <c r="BE45" s="145" t="e">
        <f>IF($N45=0,0,IF(VLOOKUP($H45,'How the score is generated (P)'!$B$4:$I$72,6,0)="ü",2,0))</f>
        <v>#N/A</v>
      </c>
      <c r="BF45" s="35" t="e">
        <f>IF(VLOOKUP($H45,'How the score is generated (P)'!$B$4:$I$72,7,0)="ü",$Q45,0)</f>
        <v>#N/A</v>
      </c>
      <c r="BG45" s="36" t="e">
        <f>IF(VLOOKUP($H45,'How the score is generated (P)'!$B$4:$I$72,7,0)="ü",$S45,0)</f>
        <v>#N/A</v>
      </c>
      <c r="BH45" s="145" t="e">
        <f>IF($N45=0,0,IF(VLOOKUP($H45,'How the score is generated (P)'!$B$4:$I$72,7,0)="ü",2,0))</f>
        <v>#N/A</v>
      </c>
      <c r="BI45" s="35" t="e">
        <f>IF(VLOOKUP($H45,'How the score is generated (P)'!$B$4:$I$72,8,0)="ü",$Q45,0)</f>
        <v>#N/A</v>
      </c>
      <c r="BJ45" s="36" t="e">
        <f>IF(VLOOKUP($H45,'How the score is generated (P)'!$B$4:$I$72,8,0)="ü",$S45,0)</f>
        <v>#N/A</v>
      </c>
      <c r="BK45" s="145" t="e">
        <f>IF($N45=0,0,IF(VLOOKUP($H45,'How the score is generated (P)'!$B$4:$I$72,8,0)="ü",2,0))</f>
        <v>#N/A</v>
      </c>
      <c r="BL45" s="23"/>
      <c r="BM45" s="201"/>
      <c r="BN45" s="23"/>
      <c r="BO45" s="146"/>
      <c r="BT45" s="34"/>
      <c r="BU45" s="34" t="str">
        <f t="shared" si="18"/>
        <v/>
      </c>
      <c r="BV45" s="34">
        <f t="shared" si="19"/>
        <v>0</v>
      </c>
      <c r="BW45" s="34">
        <f t="shared" si="20"/>
        <v>0</v>
      </c>
      <c r="BX45" s="34" t="str">
        <f t="shared" si="21"/>
        <v>29. Carriageway Surface/Construction type - Cycling</v>
      </c>
    </row>
    <row r="46" spans="1:76" ht="32.5" customHeight="1" thickBot="1" x14ac:dyDescent="0.4">
      <c r="A46" s="23"/>
      <c r="B46" s="70"/>
      <c r="C46" s="66" t="s">
        <v>100</v>
      </c>
      <c r="D46" s="164">
        <f>D45+1</f>
        <v>30</v>
      </c>
      <c r="E46" s="38" t="s">
        <v>43</v>
      </c>
      <c r="F46" s="198" t="s">
        <v>43</v>
      </c>
      <c r="G46" s="39" t="s">
        <v>154</v>
      </c>
      <c r="H46" s="41" t="s">
        <v>155</v>
      </c>
      <c r="I46" s="272"/>
      <c r="J46" s="45"/>
      <c r="K46" s="41" t="s">
        <v>156</v>
      </c>
      <c r="L46" s="41" t="s">
        <v>157</v>
      </c>
      <c r="M46" s="42" t="s">
        <v>158</v>
      </c>
      <c r="N46" s="170">
        <f>IF(Project!$B$27="Off Highway",0,1)</f>
        <v>1</v>
      </c>
      <c r="O46" s="237">
        <f>IF(Scoring!O49="A",0,Scoring!O49)</f>
        <v>0</v>
      </c>
      <c r="P46" s="144">
        <f>IF(Scoring!P49="A",0,Scoring!P49)</f>
        <v>0</v>
      </c>
      <c r="Q46" s="129">
        <f>IF($N46=0,0,O46)</f>
        <v>0</v>
      </c>
      <c r="R46" s="34">
        <f>IF($N46=0,0,2)</f>
        <v>2</v>
      </c>
      <c r="S46" s="34">
        <f>IF($N46=0,0,Scoring!P49)</f>
        <v>0</v>
      </c>
      <c r="T46" s="34">
        <f>IF($N46=0,0,2)</f>
        <v>2</v>
      </c>
      <c r="U46" s="35" t="e">
        <f>IF(VLOOKUP($H46,'How the score is generated (H)'!$B$4:$H$72,2,0)="ü",$Q46,0)</f>
        <v>#N/A</v>
      </c>
      <c r="V46" s="36" t="e">
        <f>IF(VLOOKUP($H46,'How the score is generated (H)'!$B$4:$H$72,2,0)="ü",$S46,0)</f>
        <v>#N/A</v>
      </c>
      <c r="W46" s="145" t="e">
        <f>IF($N46=0,0,IF(VLOOKUP($H46,'How the score is generated (H)'!$B$4:$H$72,2,0)="ü",2,0))</f>
        <v>#N/A</v>
      </c>
      <c r="X46" s="35" t="e">
        <f>IF(VLOOKUP($H46,'How the score is generated (H)'!$B$4:$H$72,3,0)="ü",$Q46,0)</f>
        <v>#N/A</v>
      </c>
      <c r="Y46" s="36" t="e">
        <f>IF(VLOOKUP($H46,'How the score is generated (H)'!$B$4:$H$72,3,0)="ü",$S46,0)</f>
        <v>#N/A</v>
      </c>
      <c r="Z46" s="145" t="e">
        <f>IF($N46=0,0,IF(VLOOKUP($H46,'How the score is generated (H)'!$B$4:$H$72,3,0)="ü",2,0))</f>
        <v>#N/A</v>
      </c>
      <c r="AA46" s="35" t="e">
        <f>IF(VLOOKUP($H46,'How the score is generated (H)'!$B$4:$H$72,4,0)="ü",$Q46,0)</f>
        <v>#N/A</v>
      </c>
      <c r="AB46" s="36" t="e">
        <f>IF(VLOOKUP($H46,'How the score is generated (H)'!$B$4:$H$72,4,0)="ü",$S46,0)</f>
        <v>#N/A</v>
      </c>
      <c r="AC46" s="145" t="e">
        <f>IF($N46=0,0,IF(VLOOKUP($H46,'How the score is generated (H)'!$B$4:$H$72,4,0)="ü",2,0))</f>
        <v>#N/A</v>
      </c>
      <c r="AD46" s="35" t="e">
        <f>IF(VLOOKUP($H46,'How the score is generated (H)'!$B$4:$H$72,5,0)="ü",$Q46,0)</f>
        <v>#N/A</v>
      </c>
      <c r="AE46" s="36" t="e">
        <f>IF(VLOOKUP($H46,'How the score is generated (H)'!$B$4:$H$72,5,0)="ü",$S46,0)</f>
        <v>#N/A</v>
      </c>
      <c r="AF46" s="145" t="e">
        <f>IF($N46=0,0,IF(VLOOKUP($H46,'How the score is generated (H)'!$B$4:$H$72,5,0)="ü",2,0))</f>
        <v>#N/A</v>
      </c>
      <c r="AG46" s="35" t="e">
        <f>IF(VLOOKUP($H46,'How the score is generated (H)'!$B$4:$H$72,6,0)="ü",$Q46,0)</f>
        <v>#N/A</v>
      </c>
      <c r="AH46" s="36" t="e">
        <f>IF(VLOOKUP($H46,'How the score is generated (H)'!$B$4:$H$72,6,0)="ü",$S46,0)</f>
        <v>#N/A</v>
      </c>
      <c r="AI46" s="145" t="e">
        <f>IF($N46=0,0,IF(VLOOKUP($H46,'How the score is generated (H)'!$B$4:$H$72,6,0)="ü",2,0))</f>
        <v>#N/A</v>
      </c>
      <c r="AJ46" s="35" t="e">
        <f>IF(VLOOKUP($H46,'How the score is generated (H)'!$B$4:$H$72,7,0)="ü",$Q46,0)</f>
        <v>#N/A</v>
      </c>
      <c r="AK46" s="36" t="e">
        <f>IF(VLOOKUP($H46,'How the score is generated (H)'!$B$4:$H$72,7,0)="ü",$S46,0)</f>
        <v>#N/A</v>
      </c>
      <c r="AL46" s="145" t="e">
        <f>IF($N46=0,0,IF(VLOOKUP($H46,'How the score is generated (H)'!$B$4:$H$72,7,0)="ü",2,0))</f>
        <v>#N/A</v>
      </c>
      <c r="AM46" s="35" t="e">
        <f>IF(VLOOKUP($H46,'How the score is generated (H)'!$B$4:$H$72,8,0)="ü",$Q46,0)</f>
        <v>#N/A</v>
      </c>
      <c r="AN46" s="36" t="e">
        <f>IF(VLOOKUP($H46,'How the score is generated (H)'!$B$4:$H$72,8,0)="ü",$S46,0)</f>
        <v>#N/A</v>
      </c>
      <c r="AO46" s="145" t="e">
        <f>IF($N46=0,0,IF(VLOOKUP($H46,'How the score is generated (H)'!$B$4:$H$72,8,0)="ü",2,0))</f>
        <v>#N/A</v>
      </c>
      <c r="AP46" s="23"/>
      <c r="AQ46" s="35" t="e">
        <f>IF(VLOOKUP($H46,'How the score is generated (P)'!$B$4:$I$72,2,0)="ü",$Q46,0)</f>
        <v>#N/A</v>
      </c>
      <c r="AR46" s="36" t="e">
        <f>IF(VLOOKUP($H46,'How the score is generated (P)'!$B$4:$I$72,2,0)="ü",$S46,0)</f>
        <v>#N/A</v>
      </c>
      <c r="AS46" s="145" t="e">
        <f>IF($N46=0,0,IF(VLOOKUP($H46,'How the score is generated (P)'!$B$4:$I$72,2,0)="ü",2,0))</f>
        <v>#N/A</v>
      </c>
      <c r="AT46" s="35" t="e">
        <f>IF(VLOOKUP($H46,'How the score is generated (P)'!$B$4:$I$72,3,0)="ü",$Q46,0)</f>
        <v>#N/A</v>
      </c>
      <c r="AU46" s="36" t="e">
        <f>IF(VLOOKUP($H46,'How the score is generated (P)'!$B$4:$I$72,3,0)="ü",$S46,0)</f>
        <v>#N/A</v>
      </c>
      <c r="AV46" s="145" t="e">
        <f>IF($N46=0,0,IF(VLOOKUP($H46,'How the score is generated (P)'!$B$4:$I$72,3,0)="ü",2,0))</f>
        <v>#N/A</v>
      </c>
      <c r="AW46" s="35" t="e">
        <f>IF(VLOOKUP($H46,'How the score is generated (P)'!$B$4:$I$72,4,0)="ü",$Q46,0)</f>
        <v>#N/A</v>
      </c>
      <c r="AX46" s="36" t="e">
        <f>IF(VLOOKUP($H46,'How the score is generated (P)'!$B$4:$I$72,4,0)="ü",$S46,0)</f>
        <v>#N/A</v>
      </c>
      <c r="AY46" s="145" t="e">
        <f>IF($N46=0,0,IF(VLOOKUP($H46,'How the score is generated (P)'!$B$4:$I$72,4,0)="ü",2,0))</f>
        <v>#N/A</v>
      </c>
      <c r="AZ46" s="35" t="e">
        <f>IF(VLOOKUP($H46,'How the score is generated (P)'!$B$4:$I$72,5,0)="ü",$Q46,0)</f>
        <v>#N/A</v>
      </c>
      <c r="BA46" s="36" t="e">
        <f>IF(VLOOKUP($H46,'How the score is generated (P)'!$B$4:$I$72,5,0)="ü",$S46,0)</f>
        <v>#N/A</v>
      </c>
      <c r="BB46" s="145" t="e">
        <f>IF($N46=0,0,IF(VLOOKUP($H46,'How the score is generated (P)'!$B$4:$I$72,5,0)="ü",2,0))</f>
        <v>#N/A</v>
      </c>
      <c r="BC46" s="35" t="e">
        <f>IF(VLOOKUP($H46,'How the score is generated (P)'!$B$4:$I$72,6,0)="ü",$Q46,0)</f>
        <v>#N/A</v>
      </c>
      <c r="BD46" s="36" t="e">
        <f>IF(VLOOKUP($H46,'How the score is generated (P)'!$B$4:$I$72,6,0)="ü",$S46,0)</f>
        <v>#N/A</v>
      </c>
      <c r="BE46" s="145" t="e">
        <f>IF($N46=0,0,IF(VLOOKUP($H46,'How the score is generated (P)'!$B$4:$I$72,6,0)="ü",2,0))</f>
        <v>#N/A</v>
      </c>
      <c r="BF46" s="35" t="e">
        <f>IF(VLOOKUP($H46,'How the score is generated (P)'!$B$4:$I$72,7,0)="ü",$Q46,0)</f>
        <v>#N/A</v>
      </c>
      <c r="BG46" s="36" t="e">
        <f>IF(VLOOKUP($H46,'How the score is generated (P)'!$B$4:$I$72,7,0)="ü",$S46,0)</f>
        <v>#N/A</v>
      </c>
      <c r="BH46" s="145" t="e">
        <f>IF($N46=0,0,IF(VLOOKUP($H46,'How the score is generated (P)'!$B$4:$I$72,7,0)="ü",2,0))</f>
        <v>#N/A</v>
      </c>
      <c r="BI46" s="35" t="e">
        <f>IF(VLOOKUP($H46,'How the score is generated (P)'!$B$4:$I$72,8,0)="ü",$Q46,0)</f>
        <v>#N/A</v>
      </c>
      <c r="BJ46" s="36" t="e">
        <f>IF(VLOOKUP($H46,'How the score is generated (P)'!$B$4:$I$72,8,0)="ü",$S46,0)</f>
        <v>#N/A</v>
      </c>
      <c r="BK46" s="145" t="e">
        <f>IF($N46=0,0,IF(VLOOKUP($H46,'How the score is generated (P)'!$B$4:$I$72,8,0)="ü",2,0))</f>
        <v>#N/A</v>
      </c>
      <c r="BL46" s="23"/>
      <c r="BM46" s="201"/>
      <c r="BN46" s="23"/>
      <c r="BO46" s="146"/>
      <c r="BT46" s="34"/>
      <c r="BU46" s="34" t="str">
        <f>IF(BT46="Amber",IF(S46=0,"Residual Amber",""),"")</f>
        <v/>
      </c>
      <c r="BV46" s="34">
        <f>IF(N46=0,"",IF(O46="","",O46))</f>
        <v>0</v>
      </c>
      <c r="BW46" s="34">
        <f>IF(N46=0,"",IF(P46="","",P46))</f>
        <v>0</v>
      </c>
      <c r="BX46" s="34" t="str">
        <f>D46&amp;". "&amp;H46</f>
        <v xml:space="preserve">30. Impact of on street loading </v>
      </c>
    </row>
    <row r="47" spans="1:76" ht="52.5" thickBot="1" x14ac:dyDescent="0.4">
      <c r="A47" s="23"/>
      <c r="B47" s="31"/>
      <c r="C47" s="71" t="s">
        <v>100</v>
      </c>
      <c r="D47" s="165">
        <f>D46+1</f>
        <v>31</v>
      </c>
      <c r="E47" s="46" t="s">
        <v>39</v>
      </c>
      <c r="F47" s="169" t="s">
        <v>20</v>
      </c>
      <c r="G47" s="177" t="s">
        <v>159</v>
      </c>
      <c r="H47" s="178" t="s">
        <v>160</v>
      </c>
      <c r="I47" s="273"/>
      <c r="J47" s="179"/>
      <c r="K47" s="178" t="s">
        <v>469</v>
      </c>
      <c r="L47" s="178" t="s">
        <v>470</v>
      </c>
      <c r="M47" s="180" t="s">
        <v>471</v>
      </c>
      <c r="N47" s="170">
        <f>IF(Project!$B$27="Off Highway",0,1)</f>
        <v>1</v>
      </c>
      <c r="O47" s="237">
        <f>IF(Scoring!O50="A",0,Scoring!O50)</f>
        <v>0</v>
      </c>
      <c r="P47" s="144">
        <f>IF(Scoring!P50="A",0,Scoring!P50)</f>
        <v>0</v>
      </c>
      <c r="Q47" s="129">
        <f>IF($N47=0,0,O47)</f>
        <v>0</v>
      </c>
      <c r="R47" s="34">
        <f>IF($N47=0,0,2)</f>
        <v>2</v>
      </c>
      <c r="S47" s="34">
        <f>IF($N47=0,0,Scoring!P50)</f>
        <v>0</v>
      </c>
      <c r="T47" s="34">
        <f>IF($N47=0,0,2)</f>
        <v>2</v>
      </c>
      <c r="U47" s="35" t="e">
        <f>IF(VLOOKUP($H47,'How the score is generated (H)'!$B$4:$H$72,2,0)="ü",$Q47,0)</f>
        <v>#N/A</v>
      </c>
      <c r="V47" s="36" t="e">
        <f>IF(VLOOKUP($H47,'How the score is generated (H)'!$B$4:$H$72,2,0)="ü",$S47,0)</f>
        <v>#N/A</v>
      </c>
      <c r="W47" s="145" t="e">
        <f>IF($N47=0,0,IF(VLOOKUP($H47,'How the score is generated (H)'!$B$4:$H$72,2,0)="ü",2,0))</f>
        <v>#N/A</v>
      </c>
      <c r="X47" s="35" t="e">
        <f>IF(VLOOKUP($H47,'How the score is generated (H)'!$B$4:$H$72,3,0)="ü",$Q47,0)</f>
        <v>#N/A</v>
      </c>
      <c r="Y47" s="36" t="e">
        <f>IF(VLOOKUP($H47,'How the score is generated (H)'!$B$4:$H$72,3,0)="ü",$S47,0)</f>
        <v>#N/A</v>
      </c>
      <c r="Z47" s="145" t="e">
        <f>IF($N47=0,0,IF(VLOOKUP($H47,'How the score is generated (H)'!$B$4:$H$72,3,0)="ü",2,0))</f>
        <v>#N/A</v>
      </c>
      <c r="AA47" s="35" t="e">
        <f>IF(VLOOKUP($H47,'How the score is generated (H)'!$B$4:$H$72,4,0)="ü",$Q47,0)</f>
        <v>#N/A</v>
      </c>
      <c r="AB47" s="36" t="e">
        <f>IF(VLOOKUP($H47,'How the score is generated (H)'!$B$4:$H$72,4,0)="ü",$S47,0)</f>
        <v>#N/A</v>
      </c>
      <c r="AC47" s="145" t="e">
        <f>IF($N47=0,0,IF(VLOOKUP($H47,'How the score is generated (H)'!$B$4:$H$72,4,0)="ü",2,0))</f>
        <v>#N/A</v>
      </c>
      <c r="AD47" s="35" t="e">
        <f>IF(VLOOKUP($H47,'How the score is generated (H)'!$B$4:$H$72,5,0)="ü",$Q47,0)</f>
        <v>#N/A</v>
      </c>
      <c r="AE47" s="36" t="e">
        <f>IF(VLOOKUP($H47,'How the score is generated (H)'!$B$4:$H$72,5,0)="ü",$S47,0)</f>
        <v>#N/A</v>
      </c>
      <c r="AF47" s="145" t="e">
        <f>IF($N47=0,0,IF(VLOOKUP($H47,'How the score is generated (H)'!$B$4:$H$72,5,0)="ü",2,0))</f>
        <v>#N/A</v>
      </c>
      <c r="AG47" s="35" t="e">
        <f>IF(VLOOKUP($H47,'How the score is generated (H)'!$B$4:$H$72,6,0)="ü",$Q47,0)</f>
        <v>#N/A</v>
      </c>
      <c r="AH47" s="36" t="e">
        <f>IF(VLOOKUP($H47,'How the score is generated (H)'!$B$4:$H$72,6,0)="ü",$S47,0)</f>
        <v>#N/A</v>
      </c>
      <c r="AI47" s="145" t="e">
        <f>IF($N47=0,0,IF(VLOOKUP($H47,'How the score is generated (H)'!$B$4:$H$72,6,0)="ü",2,0))</f>
        <v>#N/A</v>
      </c>
      <c r="AJ47" s="35" t="e">
        <f>IF(VLOOKUP($H47,'How the score is generated (H)'!$B$4:$H$72,7,0)="ü",$Q47,0)</f>
        <v>#N/A</v>
      </c>
      <c r="AK47" s="36" t="e">
        <f>IF(VLOOKUP($H47,'How the score is generated (H)'!$B$4:$H$72,7,0)="ü",$S47,0)</f>
        <v>#N/A</v>
      </c>
      <c r="AL47" s="145" t="e">
        <f>IF($N47=0,0,IF(VLOOKUP($H47,'How the score is generated (H)'!$B$4:$H$72,7,0)="ü",2,0))</f>
        <v>#N/A</v>
      </c>
      <c r="AM47" s="35" t="e">
        <f>IF(VLOOKUP($H47,'How the score is generated (H)'!$B$4:$H$72,8,0)="ü",$Q47,0)</f>
        <v>#N/A</v>
      </c>
      <c r="AN47" s="36" t="e">
        <f>IF(VLOOKUP($H47,'How the score is generated (H)'!$B$4:$H$72,8,0)="ü",$S47,0)</f>
        <v>#N/A</v>
      </c>
      <c r="AO47" s="145" t="e">
        <f>IF($N47=0,0,IF(VLOOKUP($H47,'How the score is generated (H)'!$B$4:$H$72,8,0)="ü",2,0))</f>
        <v>#N/A</v>
      </c>
      <c r="AP47" s="23"/>
      <c r="AQ47" s="35" t="e">
        <f>IF(VLOOKUP($H47,'How the score is generated (P)'!$B$4:$I$72,2,0)="ü",$Q47,0)</f>
        <v>#N/A</v>
      </c>
      <c r="AR47" s="36" t="e">
        <f>IF(VLOOKUP($H47,'How the score is generated (P)'!$B$4:$I$72,2,0)="ü",$S47,0)</f>
        <v>#N/A</v>
      </c>
      <c r="AS47" s="145" t="e">
        <f>IF($N47=0,0,IF(VLOOKUP($H47,'How the score is generated (P)'!$B$4:$I$72,2,0)="ü",2,0))</f>
        <v>#N/A</v>
      </c>
      <c r="AT47" s="35" t="e">
        <f>IF(VLOOKUP($H47,'How the score is generated (P)'!$B$4:$I$72,3,0)="ü",$Q47,0)</f>
        <v>#N/A</v>
      </c>
      <c r="AU47" s="36" t="e">
        <f>IF(VLOOKUP($H47,'How the score is generated (P)'!$B$4:$I$72,3,0)="ü",$S47,0)</f>
        <v>#N/A</v>
      </c>
      <c r="AV47" s="145" t="e">
        <f>IF($N47=0,0,IF(VLOOKUP($H47,'How the score is generated (P)'!$B$4:$I$72,3,0)="ü",2,0))</f>
        <v>#N/A</v>
      </c>
      <c r="AW47" s="35" t="e">
        <f>IF(VLOOKUP($H47,'How the score is generated (P)'!$B$4:$I$72,4,0)="ü",$Q47,0)</f>
        <v>#N/A</v>
      </c>
      <c r="AX47" s="36" t="e">
        <f>IF(VLOOKUP($H47,'How the score is generated (P)'!$B$4:$I$72,4,0)="ü",$S47,0)</f>
        <v>#N/A</v>
      </c>
      <c r="AY47" s="145" t="e">
        <f>IF($N47=0,0,IF(VLOOKUP($H47,'How the score is generated (P)'!$B$4:$I$72,4,0)="ü",2,0))</f>
        <v>#N/A</v>
      </c>
      <c r="AZ47" s="35" t="e">
        <f>IF(VLOOKUP($H47,'How the score is generated (P)'!$B$4:$I$72,5,0)="ü",$Q47,0)</f>
        <v>#N/A</v>
      </c>
      <c r="BA47" s="36" t="e">
        <f>IF(VLOOKUP($H47,'How the score is generated (P)'!$B$4:$I$72,5,0)="ü",$S47,0)</f>
        <v>#N/A</v>
      </c>
      <c r="BB47" s="145" t="e">
        <f>IF($N47=0,0,IF(VLOOKUP($H47,'How the score is generated (P)'!$B$4:$I$72,5,0)="ü",2,0))</f>
        <v>#N/A</v>
      </c>
      <c r="BC47" s="35" t="e">
        <f>IF(VLOOKUP($H47,'How the score is generated (P)'!$B$4:$I$72,6,0)="ü",$Q47,0)</f>
        <v>#N/A</v>
      </c>
      <c r="BD47" s="36" t="e">
        <f>IF(VLOOKUP($H47,'How the score is generated (P)'!$B$4:$I$72,6,0)="ü",$S47,0)</f>
        <v>#N/A</v>
      </c>
      <c r="BE47" s="145" t="e">
        <f>IF($N47=0,0,IF(VLOOKUP($H47,'How the score is generated (P)'!$B$4:$I$72,6,0)="ü",2,0))</f>
        <v>#N/A</v>
      </c>
      <c r="BF47" s="35" t="e">
        <f>IF(VLOOKUP($H47,'How the score is generated (P)'!$B$4:$I$72,7,0)="ü",$Q47,0)</f>
        <v>#N/A</v>
      </c>
      <c r="BG47" s="36" t="e">
        <f>IF(VLOOKUP($H47,'How the score is generated (P)'!$B$4:$I$72,7,0)="ü",$S47,0)</f>
        <v>#N/A</v>
      </c>
      <c r="BH47" s="145" t="e">
        <f>IF($N47=0,0,IF(VLOOKUP($H47,'How the score is generated (P)'!$B$4:$I$72,7,0)="ü",2,0))</f>
        <v>#N/A</v>
      </c>
      <c r="BI47" s="35" t="e">
        <f>IF(VLOOKUP($H47,'How the score is generated (P)'!$B$4:$I$72,8,0)="ü",$Q47,0)</f>
        <v>#N/A</v>
      </c>
      <c r="BJ47" s="36" t="e">
        <f>IF(VLOOKUP($H47,'How the score is generated (P)'!$B$4:$I$72,8,0)="ü",$S47,0)</f>
        <v>#N/A</v>
      </c>
      <c r="BK47" s="145" t="e">
        <f>IF($N47=0,0,IF(VLOOKUP($H47,'How the score is generated (P)'!$B$4:$I$72,8,0)="ü",2,0))</f>
        <v>#N/A</v>
      </c>
      <c r="BL47" s="23"/>
      <c r="BM47" s="201"/>
      <c r="BN47" s="23"/>
      <c r="BO47" s="146"/>
      <c r="BT47" s="34"/>
      <c r="BU47" s="34" t="str">
        <f>IF(BT47="Amber",IF(S47=0,"Residual Amber",""),"")</f>
        <v/>
      </c>
      <c r="BV47" s="34">
        <f>IF(N47=0,"",IF(O47="","",O47))</f>
        <v>0</v>
      </c>
      <c r="BW47" s="34">
        <f>IF(N47=0,"",IF(P47="","",P47))</f>
        <v>0</v>
      </c>
      <c r="BX47" s="34" t="str">
        <f>D47&amp;". "&amp;H47</f>
        <v>31. Measures taken to restrict the use of private cars</v>
      </c>
    </row>
    <row r="48" spans="1:76" ht="15" thickBot="1" x14ac:dyDescent="0.4">
      <c r="A48" s="23"/>
      <c r="B48" s="72"/>
      <c r="C48" s="47"/>
      <c r="D48" s="47"/>
      <c r="E48" s="47"/>
      <c r="F48" s="47"/>
      <c r="G48" s="171" t="s">
        <v>100</v>
      </c>
      <c r="H48" s="172"/>
      <c r="I48" s="263"/>
      <c r="J48" s="172"/>
      <c r="K48" s="172"/>
      <c r="L48" s="172"/>
      <c r="M48" s="172"/>
      <c r="N48" s="48"/>
      <c r="O48" s="49" t="str">
        <f>Q48&amp;"/"&amp;R48</f>
        <v>0/26</v>
      </c>
      <c r="P48" s="50" t="str">
        <f>S48&amp;"/"&amp;T48</f>
        <v>0/26</v>
      </c>
      <c r="Q48" s="51">
        <f>SUM(Q35:Q47)</f>
        <v>0</v>
      </c>
      <c r="R48" s="51">
        <f>SUM(R35:R47)</f>
        <v>26</v>
      </c>
      <c r="S48" s="51">
        <f>SUM(S35:S47)</f>
        <v>0</v>
      </c>
      <c r="T48" s="51">
        <f>SUM(T35:T47)</f>
        <v>26</v>
      </c>
      <c r="U48" s="54"/>
      <c r="V48" s="23"/>
      <c r="W48" s="23"/>
      <c r="X48" s="54"/>
      <c r="Y48" s="23"/>
      <c r="Z48" s="23"/>
      <c r="AA48" s="54"/>
      <c r="AB48" s="23"/>
      <c r="AC48" s="23"/>
      <c r="AD48" s="54"/>
      <c r="AE48" s="23"/>
      <c r="AF48" s="23"/>
      <c r="AG48" s="54"/>
      <c r="AH48" s="23"/>
      <c r="AI48" s="23"/>
      <c r="AJ48" s="54"/>
      <c r="AK48" s="23"/>
      <c r="AL48" s="23"/>
      <c r="AM48" s="54"/>
      <c r="AN48" s="23"/>
      <c r="AO48" s="23"/>
      <c r="AP48" s="23"/>
      <c r="AQ48" s="54"/>
      <c r="AR48" s="23"/>
      <c r="AS48" s="23"/>
      <c r="AT48" s="54"/>
      <c r="AU48" s="23"/>
      <c r="AV48" s="23"/>
      <c r="AW48" s="54"/>
      <c r="AX48" s="23"/>
      <c r="AY48" s="23"/>
      <c r="AZ48" s="54"/>
      <c r="BA48" s="23"/>
      <c r="BB48" s="23"/>
      <c r="BC48" s="54"/>
      <c r="BD48" s="23"/>
      <c r="BE48" s="23"/>
      <c r="BF48" s="54"/>
      <c r="BG48" s="23"/>
      <c r="BH48" s="23"/>
      <c r="BI48" s="54"/>
      <c r="BJ48" s="23"/>
      <c r="BK48" s="23"/>
      <c r="BL48" s="23"/>
      <c r="BM48" s="23"/>
      <c r="BN48" s="23"/>
      <c r="BO48" s="23"/>
      <c r="BT48" s="51"/>
      <c r="BU48" s="51"/>
      <c r="BV48" s="51"/>
      <c r="BW48" s="51"/>
      <c r="BX48" s="51"/>
    </row>
    <row r="49" spans="1:76" ht="15" thickBot="1" x14ac:dyDescent="0.4">
      <c r="A49" s="23"/>
      <c r="B49" s="73"/>
      <c r="C49" s="47"/>
      <c r="D49" s="47"/>
      <c r="E49" s="47"/>
      <c r="F49" s="47"/>
      <c r="G49" s="74"/>
      <c r="H49" s="74"/>
      <c r="I49" s="265"/>
      <c r="J49" s="23"/>
      <c r="K49" s="23"/>
      <c r="L49" s="23"/>
      <c r="M49" s="23"/>
      <c r="N49" s="23"/>
      <c r="O49" s="23"/>
      <c r="P49" s="23"/>
      <c r="Q49" s="23"/>
      <c r="R49" s="23"/>
      <c r="S49" s="23"/>
      <c r="T49" s="23"/>
      <c r="U49" s="54"/>
      <c r="V49" s="23"/>
      <c r="W49" s="23"/>
      <c r="X49" s="54"/>
      <c r="Y49" s="23"/>
      <c r="Z49" s="23"/>
      <c r="AA49" s="54"/>
      <c r="AB49" s="23"/>
      <c r="AC49" s="23"/>
      <c r="AD49" s="54"/>
      <c r="AE49" s="23"/>
      <c r="AF49" s="23"/>
      <c r="AG49" s="54"/>
      <c r="AH49" s="23"/>
      <c r="AI49" s="23"/>
      <c r="AJ49" s="54"/>
      <c r="AK49" s="23"/>
      <c r="AL49" s="23"/>
      <c r="AM49" s="54"/>
      <c r="AN49" s="23"/>
      <c r="AO49" s="23"/>
      <c r="AP49" s="23"/>
      <c r="AQ49" s="54"/>
      <c r="AR49" s="23"/>
      <c r="AS49" s="23"/>
      <c r="AT49" s="54"/>
      <c r="AU49" s="23"/>
      <c r="AV49" s="23"/>
      <c r="AW49" s="54"/>
      <c r="AX49" s="23"/>
      <c r="AY49" s="23"/>
      <c r="AZ49" s="54"/>
      <c r="BA49" s="23"/>
      <c r="BB49" s="23"/>
      <c r="BC49" s="54"/>
      <c r="BD49" s="23"/>
      <c r="BE49" s="23"/>
      <c r="BF49" s="54"/>
      <c r="BG49" s="23"/>
      <c r="BH49" s="23"/>
      <c r="BI49" s="54"/>
      <c r="BJ49" s="23"/>
      <c r="BK49" s="23"/>
      <c r="BL49" s="23"/>
      <c r="BM49" s="23"/>
      <c r="BN49" s="23"/>
      <c r="BO49" s="23"/>
      <c r="BT49" s="23"/>
      <c r="BU49" s="23"/>
      <c r="BV49" s="23"/>
      <c r="BW49" s="23"/>
      <c r="BX49" s="23"/>
    </row>
    <row r="50" spans="1:76" ht="16" thickBot="1" x14ac:dyDescent="0.4">
      <c r="A50" s="23"/>
      <c r="B50" s="75"/>
      <c r="C50" s="63"/>
      <c r="D50" s="63"/>
      <c r="E50" s="63"/>
      <c r="F50" s="63"/>
      <c r="G50" s="522" t="s">
        <v>161</v>
      </c>
      <c r="H50" s="655"/>
      <c r="I50" s="655"/>
      <c r="J50" s="655"/>
      <c r="K50" s="655"/>
      <c r="L50" s="655"/>
      <c r="M50" s="656"/>
      <c r="N50" s="28"/>
      <c r="O50" s="28" t="s">
        <v>32</v>
      </c>
      <c r="P50" s="29" t="s">
        <v>33</v>
      </c>
      <c r="Q50" s="30"/>
      <c r="R50" s="30"/>
      <c r="S50" s="30"/>
      <c r="T50" s="30"/>
      <c r="U50" s="54"/>
      <c r="V50" s="64"/>
      <c r="W50" s="64"/>
      <c r="X50" s="54"/>
      <c r="Y50" s="64"/>
      <c r="Z50" s="64"/>
      <c r="AA50" s="54"/>
      <c r="AB50" s="64"/>
      <c r="AC50" s="64"/>
      <c r="AD50" s="54"/>
      <c r="AE50" s="64"/>
      <c r="AF50" s="64"/>
      <c r="AG50" s="54"/>
      <c r="AH50" s="64"/>
      <c r="AI50" s="64"/>
      <c r="AJ50" s="54"/>
      <c r="AK50" s="64"/>
      <c r="AL50" s="64"/>
      <c r="AM50" s="54"/>
      <c r="AN50" s="64"/>
      <c r="AO50" s="64"/>
      <c r="AP50" s="23"/>
      <c r="AQ50" s="54"/>
      <c r="AR50" s="64"/>
      <c r="AS50" s="64"/>
      <c r="AT50" s="54"/>
      <c r="AU50" s="64"/>
      <c r="AV50" s="64"/>
      <c r="AW50" s="54"/>
      <c r="AX50" s="64"/>
      <c r="AY50" s="64"/>
      <c r="AZ50" s="54"/>
      <c r="BA50" s="64"/>
      <c r="BB50" s="64"/>
      <c r="BC50" s="54"/>
      <c r="BD50" s="64"/>
      <c r="BE50" s="64"/>
      <c r="BF50" s="54"/>
      <c r="BG50" s="64"/>
      <c r="BH50" s="64"/>
      <c r="BI50" s="54"/>
      <c r="BJ50" s="64"/>
      <c r="BK50" s="64"/>
      <c r="BL50" s="23"/>
      <c r="BM50" s="23"/>
      <c r="BN50" s="23"/>
      <c r="BO50" s="23"/>
      <c r="BT50" s="30"/>
      <c r="BU50" s="30"/>
      <c r="BV50" s="30"/>
      <c r="BW50" s="30"/>
      <c r="BX50" s="30"/>
    </row>
    <row r="51" spans="1:76" ht="112.5" customHeight="1" thickBot="1" x14ac:dyDescent="0.4">
      <c r="A51" s="23"/>
      <c r="B51" s="31"/>
      <c r="C51" s="68" t="s">
        <v>162</v>
      </c>
      <c r="D51" s="163">
        <f>D47+1</f>
        <v>32</v>
      </c>
      <c r="E51" s="33" t="s">
        <v>39</v>
      </c>
      <c r="F51" s="167" t="s">
        <v>20</v>
      </c>
      <c r="G51" s="173" t="s">
        <v>163</v>
      </c>
      <c r="H51" s="174" t="s">
        <v>551</v>
      </c>
      <c r="I51" s="271"/>
      <c r="J51" s="190"/>
      <c r="K51" s="174" t="s">
        <v>164</v>
      </c>
      <c r="L51" s="174" t="s">
        <v>165</v>
      </c>
      <c r="M51" s="176" t="s">
        <v>166</v>
      </c>
      <c r="N51" s="170">
        <f>IF(Project!$B$27="Off Highway",0,1)</f>
        <v>1</v>
      </c>
      <c r="O51" s="237">
        <f>IF(Scoring!O51="A",0,Scoring!O51)</f>
        <v>0</v>
      </c>
      <c r="P51" s="144">
        <f>IF(Scoring!P51="A",0,Scoring!P51)</f>
        <v>0</v>
      </c>
      <c r="Q51" s="129">
        <f t="shared" ref="Q51:Q62" si="23">IF($N51=0,0,O51)</f>
        <v>0</v>
      </c>
      <c r="R51" s="34">
        <f t="shared" ref="R51:R62" si="24">IF($N51=0,0,2)</f>
        <v>2</v>
      </c>
      <c r="S51" s="34">
        <f>IF($N51=0,0,Scoring!P51)</f>
        <v>0</v>
      </c>
      <c r="T51" s="34">
        <f t="shared" ref="T51:T62" si="25">IF($N51=0,0,2)</f>
        <v>2</v>
      </c>
      <c r="U51" s="35" t="e">
        <f>IF(VLOOKUP($H51,'How the score is generated (H)'!$B$4:$H$72,2,0)="ü",$Q51,0)</f>
        <v>#N/A</v>
      </c>
      <c r="V51" s="36" t="e">
        <f>IF(VLOOKUP($H51,'How the score is generated (H)'!$B$4:$H$72,2,0)="ü",$S51,0)</f>
        <v>#N/A</v>
      </c>
      <c r="W51" s="145" t="e">
        <f>IF($N51=0,0,IF(VLOOKUP($H51,'How the score is generated (H)'!$B$4:$H$72,2,0)="ü",2,0))</f>
        <v>#N/A</v>
      </c>
      <c r="X51" s="35" t="e">
        <f>IF(VLOOKUP($H51,'How the score is generated (H)'!$B$4:$H$72,3,0)="ü",$Q51,0)</f>
        <v>#N/A</v>
      </c>
      <c r="Y51" s="36" t="e">
        <f>IF(VLOOKUP($H51,'How the score is generated (H)'!$B$4:$H$72,3,0)="ü",$S51,0)</f>
        <v>#N/A</v>
      </c>
      <c r="Z51" s="145" t="e">
        <f>IF($N51=0,0,IF(VLOOKUP($H51,'How the score is generated (H)'!$B$4:$H$72,3,0)="ü",2,0))</f>
        <v>#N/A</v>
      </c>
      <c r="AA51" s="35" t="e">
        <f>IF(VLOOKUP($H51,'How the score is generated (H)'!$B$4:$H$72,4,0)="ü",$Q51,0)</f>
        <v>#N/A</v>
      </c>
      <c r="AB51" s="36" t="e">
        <f>IF(VLOOKUP($H51,'How the score is generated (H)'!$B$4:$H$72,4,0)="ü",$S51,0)</f>
        <v>#N/A</v>
      </c>
      <c r="AC51" s="145" t="e">
        <f>IF($N51=0,0,IF(VLOOKUP($H51,'How the score is generated (H)'!$B$4:$H$72,4,0)="ü",2,0))</f>
        <v>#N/A</v>
      </c>
      <c r="AD51" s="35" t="e">
        <f>IF(VLOOKUP($H51,'How the score is generated (H)'!$B$4:$H$72,5,0)="ü",$Q51,0)</f>
        <v>#N/A</v>
      </c>
      <c r="AE51" s="36" t="e">
        <f>IF(VLOOKUP($H51,'How the score is generated (H)'!$B$4:$H$72,5,0)="ü",$S51,0)</f>
        <v>#N/A</v>
      </c>
      <c r="AF51" s="145" t="e">
        <f>IF($N51=0,0,IF(VLOOKUP($H51,'How the score is generated (H)'!$B$4:$H$72,5,0)="ü",2,0))</f>
        <v>#N/A</v>
      </c>
      <c r="AG51" s="35" t="e">
        <f>IF(VLOOKUP($H51,'How the score is generated (H)'!$B$4:$H$72,6,0)="ü",$Q51,0)</f>
        <v>#N/A</v>
      </c>
      <c r="AH51" s="36" t="e">
        <f>IF(VLOOKUP($H51,'How the score is generated (H)'!$B$4:$H$72,6,0)="ü",$S51,0)</f>
        <v>#N/A</v>
      </c>
      <c r="AI51" s="145" t="e">
        <f>IF($N51=0,0,IF(VLOOKUP($H51,'How the score is generated (H)'!$B$4:$H$72,6,0)="ü",2,0))</f>
        <v>#N/A</v>
      </c>
      <c r="AJ51" s="35" t="e">
        <f>IF(VLOOKUP($H51,'How the score is generated (H)'!$B$4:$H$72,7,0)="ü",$Q51,0)</f>
        <v>#N/A</v>
      </c>
      <c r="AK51" s="36" t="e">
        <f>IF(VLOOKUP($H51,'How the score is generated (H)'!$B$4:$H$72,7,0)="ü",$S51,0)</f>
        <v>#N/A</v>
      </c>
      <c r="AL51" s="145" t="e">
        <f>IF($N51=0,0,IF(VLOOKUP($H51,'How the score is generated (H)'!$B$4:$H$72,7,0)="ü",2,0))</f>
        <v>#N/A</v>
      </c>
      <c r="AM51" s="35" t="e">
        <f>IF(VLOOKUP($H51,'How the score is generated (H)'!$B$4:$H$72,8,0)="ü",$Q51,0)</f>
        <v>#N/A</v>
      </c>
      <c r="AN51" s="36" t="e">
        <f>IF(VLOOKUP($H51,'How the score is generated (H)'!$B$4:$H$72,8,0)="ü",$S51,0)</f>
        <v>#N/A</v>
      </c>
      <c r="AO51" s="145" t="e">
        <f>IF($N51=0,0,IF(VLOOKUP($H51,'How the score is generated (H)'!$B$4:$H$72,8,0)="ü",2,0))</f>
        <v>#N/A</v>
      </c>
      <c r="AP51" s="23"/>
      <c r="AQ51" s="35" t="e">
        <f>IF(VLOOKUP($H51,'How the score is generated (P)'!$B$4:$I$72,2,0)="ü",$Q51,0)</f>
        <v>#N/A</v>
      </c>
      <c r="AR51" s="36" t="e">
        <f>IF(VLOOKUP($H51,'How the score is generated (P)'!$B$4:$I$72,2,0)="ü",$S51,0)</f>
        <v>#N/A</v>
      </c>
      <c r="AS51" s="145" t="e">
        <f>IF($N51=0,0,IF(VLOOKUP($H51,'How the score is generated (P)'!$B$4:$I$72,2,0)="ü",2,0))</f>
        <v>#N/A</v>
      </c>
      <c r="AT51" s="35" t="e">
        <f>IF(VLOOKUP($H51,'How the score is generated (P)'!$B$4:$I$72,3,0)="ü",$Q51,0)</f>
        <v>#N/A</v>
      </c>
      <c r="AU51" s="36" t="e">
        <f>IF(VLOOKUP($H51,'How the score is generated (P)'!$B$4:$I$72,3,0)="ü",$S51,0)</f>
        <v>#N/A</v>
      </c>
      <c r="AV51" s="145" t="e">
        <f>IF($N51=0,0,IF(VLOOKUP($H51,'How the score is generated (P)'!$B$4:$I$72,3,0)="ü",2,0))</f>
        <v>#N/A</v>
      </c>
      <c r="AW51" s="35" t="e">
        <f>IF(VLOOKUP($H51,'How the score is generated (P)'!$B$4:$I$72,4,0)="ü",$Q51,0)</f>
        <v>#N/A</v>
      </c>
      <c r="AX51" s="36" t="e">
        <f>IF(VLOOKUP($H51,'How the score is generated (P)'!$B$4:$I$72,4,0)="ü",$S51,0)</f>
        <v>#N/A</v>
      </c>
      <c r="AY51" s="145" t="e">
        <f>IF($N51=0,0,IF(VLOOKUP($H51,'How the score is generated (P)'!$B$4:$I$72,4,0)="ü",2,0))</f>
        <v>#N/A</v>
      </c>
      <c r="AZ51" s="35" t="e">
        <f>IF(VLOOKUP($H51,'How the score is generated (P)'!$B$4:$I$72,5,0)="ü",$Q51,0)</f>
        <v>#N/A</v>
      </c>
      <c r="BA51" s="36" t="e">
        <f>IF(VLOOKUP($H51,'How the score is generated (P)'!$B$4:$I$72,5,0)="ü",$S51,0)</f>
        <v>#N/A</v>
      </c>
      <c r="BB51" s="145" t="e">
        <f>IF($N51=0,0,IF(VLOOKUP($H51,'How the score is generated (P)'!$B$4:$I$72,5,0)="ü",2,0))</f>
        <v>#N/A</v>
      </c>
      <c r="BC51" s="35" t="e">
        <f>IF(VLOOKUP($H51,'How the score is generated (P)'!$B$4:$I$72,6,0)="ü",$Q51,0)</f>
        <v>#N/A</v>
      </c>
      <c r="BD51" s="36" t="e">
        <f>IF(VLOOKUP($H51,'How the score is generated (P)'!$B$4:$I$72,6,0)="ü",$S51,0)</f>
        <v>#N/A</v>
      </c>
      <c r="BE51" s="145" t="e">
        <f>IF($N51=0,0,IF(VLOOKUP($H51,'How the score is generated (P)'!$B$4:$I$72,6,0)="ü",2,0))</f>
        <v>#N/A</v>
      </c>
      <c r="BF51" s="35" t="e">
        <f>IF(VLOOKUP($H51,'How the score is generated (P)'!$B$4:$I$72,7,0)="ü",$Q51,0)</f>
        <v>#N/A</v>
      </c>
      <c r="BG51" s="36" t="e">
        <f>IF(VLOOKUP($H51,'How the score is generated (P)'!$B$4:$I$72,7,0)="ü",$S51,0)</f>
        <v>#N/A</v>
      </c>
      <c r="BH51" s="145" t="e">
        <f>IF($N51=0,0,IF(VLOOKUP($H51,'How the score is generated (P)'!$B$4:$I$72,7,0)="ü",2,0))</f>
        <v>#N/A</v>
      </c>
      <c r="BI51" s="35" t="e">
        <f>IF(VLOOKUP($H51,'How the score is generated (P)'!$B$4:$I$72,8,0)="ü",$Q51,0)</f>
        <v>#N/A</v>
      </c>
      <c r="BJ51" s="36" t="e">
        <f>IF(VLOOKUP($H51,'How the score is generated (P)'!$B$4:$I$72,8,0)="ü",$S51,0)</f>
        <v>#N/A</v>
      </c>
      <c r="BK51" s="145" t="e">
        <f>IF($N51=0,0,IF(VLOOKUP($H51,'How the score is generated (P)'!$B$4:$I$72,8,0)="ü",2,0))</f>
        <v>#N/A</v>
      </c>
      <c r="BL51" s="23"/>
      <c r="BM51" s="201"/>
      <c r="BN51" s="23"/>
      <c r="BO51" s="276" t="s">
        <v>520</v>
      </c>
      <c r="BT51" s="34"/>
      <c r="BU51" s="34" t="str">
        <f t="shared" ref="BU51:BU61" si="26">IF(BT51="Amber",IF(S51=0,"Residual Amber",""),"")</f>
        <v/>
      </c>
      <c r="BV51" s="34">
        <f t="shared" ref="BV51:BV61" si="27">IF(N51=0,"",IF(O51="","",O51))</f>
        <v>0</v>
      </c>
      <c r="BW51" s="34">
        <f t="shared" ref="BW51:BW61" si="28">IF(N51=0,"",IF(P51="","",P51))</f>
        <v>0</v>
      </c>
      <c r="BX51" s="34" t="str">
        <f t="shared" ref="BX51:BX61" si="29">D51&amp;". "&amp;H51</f>
        <v>32. Impact of surroundings on natural surveillance, impacting the risk/fear of crime, particularly for women and girls</v>
      </c>
    </row>
    <row r="52" spans="1:76" ht="52.5" thickBot="1" x14ac:dyDescent="0.4">
      <c r="A52" s="23"/>
      <c r="B52" s="31"/>
      <c r="C52" s="66" t="s">
        <v>162</v>
      </c>
      <c r="D52" s="164">
        <f t="shared" ref="D52:D61" si="30">D51+1</f>
        <v>33</v>
      </c>
      <c r="E52" s="44" t="s">
        <v>39</v>
      </c>
      <c r="F52" s="168" t="s">
        <v>20</v>
      </c>
      <c r="G52" s="39" t="s">
        <v>167</v>
      </c>
      <c r="H52" s="41" t="s">
        <v>168</v>
      </c>
      <c r="I52" s="272"/>
      <c r="J52" s="40" t="s">
        <v>169</v>
      </c>
      <c r="K52" s="41" t="s">
        <v>170</v>
      </c>
      <c r="L52" s="41" t="s">
        <v>171</v>
      </c>
      <c r="M52" s="42" t="s">
        <v>172</v>
      </c>
      <c r="N52" s="170">
        <f>IF(Project!$B$27="Off Highway",0,1)</f>
        <v>1</v>
      </c>
      <c r="O52" s="237">
        <f>IF(Scoring!O52="A",0,Scoring!O52)</f>
        <v>0</v>
      </c>
      <c r="P52" s="144">
        <f>IF(Scoring!P52="A",0,Scoring!P52)</f>
        <v>0</v>
      </c>
      <c r="Q52" s="129">
        <f t="shared" si="23"/>
        <v>0</v>
      </c>
      <c r="R52" s="34">
        <f t="shared" si="24"/>
        <v>2</v>
      </c>
      <c r="S52" s="34">
        <f>IF($N52=0,0,Scoring!P52)</f>
        <v>0</v>
      </c>
      <c r="T52" s="34">
        <f t="shared" si="25"/>
        <v>2</v>
      </c>
      <c r="U52" s="35" t="e">
        <f>IF(VLOOKUP($H52,'How the score is generated (H)'!$B$4:$H$72,2,0)="ü",$Q52,0)</f>
        <v>#N/A</v>
      </c>
      <c r="V52" s="36" t="e">
        <f>IF(VLOOKUP($H52,'How the score is generated (H)'!$B$4:$H$72,2,0)="ü",$S52,0)</f>
        <v>#N/A</v>
      </c>
      <c r="W52" s="145" t="e">
        <f>IF($N52=0,0,IF(VLOOKUP($H52,'How the score is generated (H)'!$B$4:$H$72,2,0)="ü",2,0))</f>
        <v>#N/A</v>
      </c>
      <c r="X52" s="35" t="e">
        <f>IF(VLOOKUP($H52,'How the score is generated (H)'!$B$4:$H$72,3,0)="ü",$Q52,0)</f>
        <v>#N/A</v>
      </c>
      <c r="Y52" s="36" t="e">
        <f>IF(VLOOKUP($H52,'How the score is generated (H)'!$B$4:$H$72,3,0)="ü",$S52,0)</f>
        <v>#N/A</v>
      </c>
      <c r="Z52" s="145" t="e">
        <f>IF($N52=0,0,IF(VLOOKUP($H52,'How the score is generated (H)'!$B$4:$H$72,3,0)="ü",2,0))</f>
        <v>#N/A</v>
      </c>
      <c r="AA52" s="35" t="e">
        <f>IF(VLOOKUP($H52,'How the score is generated (H)'!$B$4:$H$72,4,0)="ü",$Q52,0)</f>
        <v>#N/A</v>
      </c>
      <c r="AB52" s="36" t="e">
        <f>IF(VLOOKUP($H52,'How the score is generated (H)'!$B$4:$H$72,4,0)="ü",$S52,0)</f>
        <v>#N/A</v>
      </c>
      <c r="AC52" s="145" t="e">
        <f>IF($N52=0,0,IF(VLOOKUP($H52,'How the score is generated (H)'!$B$4:$H$72,4,0)="ü",2,0))</f>
        <v>#N/A</v>
      </c>
      <c r="AD52" s="35" t="e">
        <f>IF(VLOOKUP($H52,'How the score is generated (H)'!$B$4:$H$72,5,0)="ü",$Q52,0)</f>
        <v>#N/A</v>
      </c>
      <c r="AE52" s="36" t="e">
        <f>IF(VLOOKUP($H52,'How the score is generated (H)'!$B$4:$H$72,5,0)="ü",$S52,0)</f>
        <v>#N/A</v>
      </c>
      <c r="AF52" s="145" t="e">
        <f>IF($N52=0,0,IF(VLOOKUP($H52,'How the score is generated (H)'!$B$4:$H$72,5,0)="ü",2,0))</f>
        <v>#N/A</v>
      </c>
      <c r="AG52" s="35" t="e">
        <f>IF(VLOOKUP($H52,'How the score is generated (H)'!$B$4:$H$72,6,0)="ü",$Q52,0)</f>
        <v>#N/A</v>
      </c>
      <c r="AH52" s="36" t="e">
        <f>IF(VLOOKUP($H52,'How the score is generated (H)'!$B$4:$H$72,6,0)="ü",$S52,0)</f>
        <v>#N/A</v>
      </c>
      <c r="AI52" s="145" t="e">
        <f>IF($N52=0,0,IF(VLOOKUP($H52,'How the score is generated (H)'!$B$4:$H$72,6,0)="ü",2,0))</f>
        <v>#N/A</v>
      </c>
      <c r="AJ52" s="35" t="e">
        <f>IF(VLOOKUP($H52,'How the score is generated (H)'!$B$4:$H$72,7,0)="ü",$Q52,0)</f>
        <v>#N/A</v>
      </c>
      <c r="AK52" s="36" t="e">
        <f>IF(VLOOKUP($H52,'How the score is generated (H)'!$B$4:$H$72,7,0)="ü",$S52,0)</f>
        <v>#N/A</v>
      </c>
      <c r="AL52" s="145" t="e">
        <f>IF($N52=0,0,IF(VLOOKUP($H52,'How the score is generated (H)'!$B$4:$H$72,7,0)="ü",2,0))</f>
        <v>#N/A</v>
      </c>
      <c r="AM52" s="35" t="e">
        <f>IF(VLOOKUP($H52,'How the score is generated (H)'!$B$4:$H$72,8,0)="ü",$Q52,0)</f>
        <v>#N/A</v>
      </c>
      <c r="AN52" s="36" t="e">
        <f>IF(VLOOKUP($H52,'How the score is generated (H)'!$B$4:$H$72,8,0)="ü",$S52,0)</f>
        <v>#N/A</v>
      </c>
      <c r="AO52" s="145" t="e">
        <f>IF($N52=0,0,IF(VLOOKUP($H52,'How the score is generated (H)'!$B$4:$H$72,8,0)="ü",2,0))</f>
        <v>#N/A</v>
      </c>
      <c r="AP52" s="23"/>
      <c r="AQ52" s="35" t="e">
        <f>IF(VLOOKUP($H52,'How the score is generated (P)'!$B$4:$I$72,2,0)="ü",$Q52,0)</f>
        <v>#N/A</v>
      </c>
      <c r="AR52" s="36" t="e">
        <f>IF(VLOOKUP($H52,'How the score is generated (P)'!$B$4:$I$72,2,0)="ü",$S52,0)</f>
        <v>#N/A</v>
      </c>
      <c r="AS52" s="145" t="e">
        <f>IF($N52=0,0,IF(VLOOKUP($H52,'How the score is generated (P)'!$B$4:$I$72,2,0)="ü",2,0))</f>
        <v>#N/A</v>
      </c>
      <c r="AT52" s="35" t="e">
        <f>IF(VLOOKUP($H52,'How the score is generated (P)'!$B$4:$I$72,3,0)="ü",$Q52,0)</f>
        <v>#N/A</v>
      </c>
      <c r="AU52" s="36" t="e">
        <f>IF(VLOOKUP($H52,'How the score is generated (P)'!$B$4:$I$72,3,0)="ü",$S52,0)</f>
        <v>#N/A</v>
      </c>
      <c r="AV52" s="145" t="e">
        <f>IF($N52=0,0,IF(VLOOKUP($H52,'How the score is generated (P)'!$B$4:$I$72,3,0)="ü",2,0))</f>
        <v>#N/A</v>
      </c>
      <c r="AW52" s="35" t="e">
        <f>IF(VLOOKUP($H52,'How the score is generated (P)'!$B$4:$I$72,4,0)="ü",$Q52,0)</f>
        <v>#N/A</v>
      </c>
      <c r="AX52" s="36" t="e">
        <f>IF(VLOOKUP($H52,'How the score is generated (P)'!$B$4:$I$72,4,0)="ü",$S52,0)</f>
        <v>#N/A</v>
      </c>
      <c r="AY52" s="145" t="e">
        <f>IF($N52=0,0,IF(VLOOKUP($H52,'How the score is generated (P)'!$B$4:$I$72,4,0)="ü",2,0))</f>
        <v>#N/A</v>
      </c>
      <c r="AZ52" s="35" t="e">
        <f>IF(VLOOKUP($H52,'How the score is generated (P)'!$B$4:$I$72,5,0)="ü",$Q52,0)</f>
        <v>#N/A</v>
      </c>
      <c r="BA52" s="36" t="e">
        <f>IF(VLOOKUP($H52,'How the score is generated (P)'!$B$4:$I$72,5,0)="ü",$S52,0)</f>
        <v>#N/A</v>
      </c>
      <c r="BB52" s="145" t="e">
        <f>IF($N52=0,0,IF(VLOOKUP($H52,'How the score is generated (P)'!$B$4:$I$72,5,0)="ü",2,0))</f>
        <v>#N/A</v>
      </c>
      <c r="BC52" s="35" t="e">
        <f>IF(VLOOKUP($H52,'How the score is generated (P)'!$B$4:$I$72,6,0)="ü",$Q52,0)</f>
        <v>#N/A</v>
      </c>
      <c r="BD52" s="36" t="e">
        <f>IF(VLOOKUP($H52,'How the score is generated (P)'!$B$4:$I$72,6,0)="ü",$S52,0)</f>
        <v>#N/A</v>
      </c>
      <c r="BE52" s="145" t="e">
        <f>IF($N52=0,0,IF(VLOOKUP($H52,'How the score is generated (P)'!$B$4:$I$72,6,0)="ü",2,0))</f>
        <v>#N/A</v>
      </c>
      <c r="BF52" s="35" t="e">
        <f>IF(VLOOKUP($H52,'How the score is generated (P)'!$B$4:$I$72,7,0)="ü",$Q52,0)</f>
        <v>#N/A</v>
      </c>
      <c r="BG52" s="36" t="e">
        <f>IF(VLOOKUP($H52,'How the score is generated (P)'!$B$4:$I$72,7,0)="ü",$S52,0)</f>
        <v>#N/A</v>
      </c>
      <c r="BH52" s="145" t="e">
        <f>IF($N52=0,0,IF(VLOOKUP($H52,'How the score is generated (P)'!$B$4:$I$72,7,0)="ü",2,0))</f>
        <v>#N/A</v>
      </c>
      <c r="BI52" s="35" t="e">
        <f>IF(VLOOKUP($H52,'How the score is generated (P)'!$B$4:$I$72,8,0)="ü",$Q52,0)</f>
        <v>#N/A</v>
      </c>
      <c r="BJ52" s="36" t="e">
        <f>IF(VLOOKUP($H52,'How the score is generated (P)'!$B$4:$I$72,8,0)="ü",$S52,0)</f>
        <v>#N/A</v>
      </c>
      <c r="BK52" s="145" t="e">
        <f>IF($N52=0,0,IF(VLOOKUP($H52,'How the score is generated (P)'!$B$4:$I$72,8,0)="ü",2,0))</f>
        <v>#N/A</v>
      </c>
      <c r="BL52" s="23"/>
      <c r="BM52" s="201"/>
      <c r="BN52" s="23"/>
      <c r="BO52" s="276" t="s">
        <v>552</v>
      </c>
      <c r="BT52" s="34"/>
      <c r="BU52" s="34" t="str">
        <f t="shared" si="26"/>
        <v/>
      </c>
      <c r="BV52" s="34">
        <f t="shared" si="27"/>
        <v>0</v>
      </c>
      <c r="BW52" s="34">
        <f t="shared" si="28"/>
        <v>0</v>
      </c>
      <c r="BX52" s="34" t="str">
        <f t="shared" si="29"/>
        <v>33. Quality of lighting to support personal safety and an attractive street environment</v>
      </c>
    </row>
    <row r="53" spans="1:76" ht="65.5" thickBot="1" x14ac:dyDescent="0.4">
      <c r="A53" s="23"/>
      <c r="B53" s="31"/>
      <c r="C53" s="66" t="s">
        <v>162</v>
      </c>
      <c r="D53" s="164">
        <f t="shared" si="30"/>
        <v>34</v>
      </c>
      <c r="E53" s="182" t="s">
        <v>43</v>
      </c>
      <c r="F53" s="200" t="s">
        <v>20</v>
      </c>
      <c r="G53" s="39" t="s">
        <v>173</v>
      </c>
      <c r="H53" s="41" t="s">
        <v>174</v>
      </c>
      <c r="I53" s="272"/>
      <c r="J53" s="45"/>
      <c r="K53" s="227" t="s">
        <v>175</v>
      </c>
      <c r="L53" s="189" t="s">
        <v>513</v>
      </c>
      <c r="M53" s="191" t="s">
        <v>514</v>
      </c>
      <c r="N53" s="170">
        <f>IF(Project!$B$27="Off Highway",0,1)</f>
        <v>1</v>
      </c>
      <c r="O53" s="237">
        <f>IF(Scoring!O53="A",0,Scoring!O53)</f>
        <v>0</v>
      </c>
      <c r="P53" s="144">
        <f>IF(Scoring!P53="A",0,Scoring!P53)</f>
        <v>0</v>
      </c>
      <c r="Q53" s="129">
        <f t="shared" si="23"/>
        <v>0</v>
      </c>
      <c r="R53" s="34">
        <f t="shared" si="24"/>
        <v>2</v>
      </c>
      <c r="S53" s="34">
        <f>IF($N53=0,0,Scoring!P53)</f>
        <v>0</v>
      </c>
      <c r="T53" s="34">
        <f t="shared" si="25"/>
        <v>2</v>
      </c>
      <c r="U53" s="35" t="e">
        <f>IF(VLOOKUP($H53,'How the score is generated (H)'!$B$4:$H$72,2,0)="ü",$Q53,0)</f>
        <v>#N/A</v>
      </c>
      <c r="V53" s="36" t="e">
        <f>IF(VLOOKUP($H53,'How the score is generated (H)'!$B$4:$H$72,2,0)="ü",$S53,0)</f>
        <v>#N/A</v>
      </c>
      <c r="W53" s="145" t="e">
        <f>IF($N53=0,0,IF(VLOOKUP($H53,'How the score is generated (H)'!$B$4:$H$72,2,0)="ü",2,0))</f>
        <v>#N/A</v>
      </c>
      <c r="X53" s="35" t="e">
        <f>IF(VLOOKUP($H53,'How the score is generated (H)'!$B$4:$H$72,3,0)="ü",$Q53,0)</f>
        <v>#N/A</v>
      </c>
      <c r="Y53" s="36" t="e">
        <f>IF(VLOOKUP($H53,'How the score is generated (H)'!$B$4:$H$72,3,0)="ü",$S53,0)</f>
        <v>#N/A</v>
      </c>
      <c r="Z53" s="145" t="e">
        <f>IF($N53=0,0,IF(VLOOKUP($H53,'How the score is generated (H)'!$B$4:$H$72,3,0)="ü",2,0))</f>
        <v>#N/A</v>
      </c>
      <c r="AA53" s="35" t="e">
        <f>IF(VLOOKUP($H53,'How the score is generated (H)'!$B$4:$H$72,4,0)="ü",$Q53,0)</f>
        <v>#N/A</v>
      </c>
      <c r="AB53" s="36" t="e">
        <f>IF(VLOOKUP($H53,'How the score is generated (H)'!$B$4:$H$72,4,0)="ü",$S53,0)</f>
        <v>#N/A</v>
      </c>
      <c r="AC53" s="145" t="e">
        <f>IF($N53=0,0,IF(VLOOKUP($H53,'How the score is generated (H)'!$B$4:$H$72,4,0)="ü",2,0))</f>
        <v>#N/A</v>
      </c>
      <c r="AD53" s="35" t="e">
        <f>IF(VLOOKUP($H53,'How the score is generated (H)'!$B$4:$H$72,5,0)="ü",$Q53,0)</f>
        <v>#N/A</v>
      </c>
      <c r="AE53" s="36" t="e">
        <f>IF(VLOOKUP($H53,'How the score is generated (H)'!$B$4:$H$72,5,0)="ü",$S53,0)</f>
        <v>#N/A</v>
      </c>
      <c r="AF53" s="145" t="e">
        <f>IF($N53=0,0,IF(VLOOKUP($H53,'How the score is generated (H)'!$B$4:$H$72,5,0)="ü",2,0))</f>
        <v>#N/A</v>
      </c>
      <c r="AG53" s="35" t="e">
        <f>IF(VLOOKUP($H53,'How the score is generated (H)'!$B$4:$H$72,6,0)="ü",$Q53,0)</f>
        <v>#N/A</v>
      </c>
      <c r="AH53" s="36" t="e">
        <f>IF(VLOOKUP($H53,'How the score is generated (H)'!$B$4:$H$72,6,0)="ü",$S53,0)</f>
        <v>#N/A</v>
      </c>
      <c r="AI53" s="145" t="e">
        <f>IF($N53=0,0,IF(VLOOKUP($H53,'How the score is generated (H)'!$B$4:$H$72,6,0)="ü",2,0))</f>
        <v>#N/A</v>
      </c>
      <c r="AJ53" s="35" t="e">
        <f>IF(VLOOKUP($H53,'How the score is generated (H)'!$B$4:$H$72,7,0)="ü",$Q53,0)</f>
        <v>#N/A</v>
      </c>
      <c r="AK53" s="36" t="e">
        <f>IF(VLOOKUP($H53,'How the score is generated (H)'!$B$4:$H$72,7,0)="ü",$S53,0)</f>
        <v>#N/A</v>
      </c>
      <c r="AL53" s="145" t="e">
        <f>IF($N53=0,0,IF(VLOOKUP($H53,'How the score is generated (H)'!$B$4:$H$72,7,0)="ü",2,0))</f>
        <v>#N/A</v>
      </c>
      <c r="AM53" s="35" t="e">
        <f>IF(VLOOKUP($H53,'How the score is generated (H)'!$B$4:$H$72,8,0)="ü",$Q53,0)</f>
        <v>#N/A</v>
      </c>
      <c r="AN53" s="36" t="e">
        <f>IF(VLOOKUP($H53,'How the score is generated (H)'!$B$4:$H$72,8,0)="ü",$S53,0)</f>
        <v>#N/A</v>
      </c>
      <c r="AO53" s="145" t="e">
        <f>IF($N53=0,0,IF(VLOOKUP($H53,'How the score is generated (H)'!$B$4:$H$72,8,0)="ü",2,0))</f>
        <v>#N/A</v>
      </c>
      <c r="AP53" s="23"/>
      <c r="AQ53" s="35" t="e">
        <f>IF(VLOOKUP($H53,'How the score is generated (P)'!$B$4:$I$72,2,0)="ü",$Q53,0)</f>
        <v>#N/A</v>
      </c>
      <c r="AR53" s="36" t="e">
        <f>IF(VLOOKUP($H53,'How the score is generated (P)'!$B$4:$I$72,2,0)="ü",$S53,0)</f>
        <v>#N/A</v>
      </c>
      <c r="AS53" s="145" t="e">
        <f>IF($N53=0,0,IF(VLOOKUP($H53,'How the score is generated (P)'!$B$4:$I$72,2,0)="ü",2,0))</f>
        <v>#N/A</v>
      </c>
      <c r="AT53" s="35" t="e">
        <f>IF(VLOOKUP($H53,'How the score is generated (P)'!$B$4:$I$72,3,0)="ü",$Q53,0)</f>
        <v>#N/A</v>
      </c>
      <c r="AU53" s="36" t="e">
        <f>IF(VLOOKUP($H53,'How the score is generated (P)'!$B$4:$I$72,3,0)="ü",$S53,0)</f>
        <v>#N/A</v>
      </c>
      <c r="AV53" s="145" t="e">
        <f>IF($N53=0,0,IF(VLOOKUP($H53,'How the score is generated (P)'!$B$4:$I$72,3,0)="ü",2,0))</f>
        <v>#N/A</v>
      </c>
      <c r="AW53" s="35" t="e">
        <f>IF(VLOOKUP($H53,'How the score is generated (P)'!$B$4:$I$72,4,0)="ü",$Q53,0)</f>
        <v>#N/A</v>
      </c>
      <c r="AX53" s="36" t="e">
        <f>IF(VLOOKUP($H53,'How the score is generated (P)'!$B$4:$I$72,4,0)="ü",$S53,0)</f>
        <v>#N/A</v>
      </c>
      <c r="AY53" s="145" t="e">
        <f>IF($N53=0,0,IF(VLOOKUP($H53,'How the score is generated (P)'!$B$4:$I$72,4,0)="ü",2,0))</f>
        <v>#N/A</v>
      </c>
      <c r="AZ53" s="35" t="e">
        <f>IF(VLOOKUP($H53,'How the score is generated (P)'!$B$4:$I$72,5,0)="ü",$Q53,0)</f>
        <v>#N/A</v>
      </c>
      <c r="BA53" s="36" t="e">
        <f>IF(VLOOKUP($H53,'How the score is generated (P)'!$B$4:$I$72,5,0)="ü",$S53,0)</f>
        <v>#N/A</v>
      </c>
      <c r="BB53" s="145" t="e">
        <f>IF($N53=0,0,IF(VLOOKUP($H53,'How the score is generated (P)'!$B$4:$I$72,5,0)="ü",2,0))</f>
        <v>#N/A</v>
      </c>
      <c r="BC53" s="35" t="e">
        <f>IF(VLOOKUP($H53,'How the score is generated (P)'!$B$4:$I$72,6,0)="ü",$Q53,0)</f>
        <v>#N/A</v>
      </c>
      <c r="BD53" s="36" t="e">
        <f>IF(VLOOKUP($H53,'How the score is generated (P)'!$B$4:$I$72,6,0)="ü",$S53,0)</f>
        <v>#N/A</v>
      </c>
      <c r="BE53" s="145" t="e">
        <f>IF($N53=0,0,IF(VLOOKUP($H53,'How the score is generated (P)'!$B$4:$I$72,6,0)="ü",2,0))</f>
        <v>#N/A</v>
      </c>
      <c r="BF53" s="35" t="e">
        <f>IF(VLOOKUP($H53,'How the score is generated (P)'!$B$4:$I$72,7,0)="ü",$Q53,0)</f>
        <v>#N/A</v>
      </c>
      <c r="BG53" s="36" t="e">
        <f>IF(VLOOKUP($H53,'How the score is generated (P)'!$B$4:$I$72,7,0)="ü",$S53,0)</f>
        <v>#N/A</v>
      </c>
      <c r="BH53" s="145" t="e">
        <f>IF($N53=0,0,IF(VLOOKUP($H53,'How the score is generated (P)'!$B$4:$I$72,7,0)="ü",2,0))</f>
        <v>#N/A</v>
      </c>
      <c r="BI53" s="35" t="e">
        <f>IF(VLOOKUP($H53,'How the score is generated (P)'!$B$4:$I$72,8,0)="ü",$Q53,0)</f>
        <v>#N/A</v>
      </c>
      <c r="BJ53" s="36" t="e">
        <f>IF(VLOOKUP($H53,'How the score is generated (P)'!$B$4:$I$72,8,0)="ü",$S53,0)</f>
        <v>#N/A</v>
      </c>
      <c r="BK53" s="145" t="e">
        <f>IF($N53=0,0,IF(VLOOKUP($H53,'How the score is generated (P)'!$B$4:$I$72,8,0)="ü",2,0))</f>
        <v>#N/A</v>
      </c>
      <c r="BL53" s="23"/>
      <c r="BM53" s="203" t="s">
        <v>176</v>
      </c>
      <c r="BN53" s="23"/>
      <c r="BO53" s="208"/>
      <c r="BT53" s="34" t="s">
        <v>177</v>
      </c>
      <c r="BU53" s="34" t="str">
        <f t="shared" si="26"/>
        <v>Residual Amber</v>
      </c>
      <c r="BV53" s="34">
        <f t="shared" si="27"/>
        <v>0</v>
      </c>
      <c r="BW53" s="34">
        <f t="shared" si="28"/>
        <v>0</v>
      </c>
      <c r="BX53" s="34" t="str">
        <f t="shared" si="29"/>
        <v>34. Ease of access to secure cycle parking on- and off-street (If no new cycle parking is proposed, but existing cycle parking already meets the score for 2 prior to scheme intervention, then score 2)</v>
      </c>
    </row>
    <row r="54" spans="1:76" ht="132.65" customHeight="1" thickBot="1" x14ac:dyDescent="0.4">
      <c r="A54" s="23"/>
      <c r="B54" s="31"/>
      <c r="C54" s="66" t="s">
        <v>162</v>
      </c>
      <c r="D54" s="164">
        <f t="shared" si="30"/>
        <v>35</v>
      </c>
      <c r="E54" s="182" t="s">
        <v>43</v>
      </c>
      <c r="F54" s="186" t="s">
        <v>43</v>
      </c>
      <c r="G54" s="39" t="s">
        <v>507</v>
      </c>
      <c r="H54" s="41" t="s">
        <v>508</v>
      </c>
      <c r="I54" s="272"/>
      <c r="J54" s="45"/>
      <c r="K54" s="227" t="s">
        <v>509</v>
      </c>
      <c r="L54" s="189" t="s">
        <v>178</v>
      </c>
      <c r="M54" s="191" t="s">
        <v>179</v>
      </c>
      <c r="N54" s="170">
        <f>IF(Project!$B$27="Off Highway",0,1)</f>
        <v>1</v>
      </c>
      <c r="O54" s="237">
        <f>IF(Scoring!O54="A",0,Scoring!O54)</f>
        <v>0</v>
      </c>
      <c r="P54" s="144">
        <f>IF(Scoring!P54="A",0,Scoring!P54)</f>
        <v>0</v>
      </c>
      <c r="Q54" s="129">
        <f t="shared" si="23"/>
        <v>0</v>
      </c>
      <c r="R54" s="34">
        <f t="shared" si="24"/>
        <v>2</v>
      </c>
      <c r="S54" s="34">
        <f>IF($N54=0,0,Scoring!P54)</f>
        <v>0</v>
      </c>
      <c r="T54" s="34">
        <f t="shared" si="25"/>
        <v>2</v>
      </c>
      <c r="U54" s="35" t="e">
        <f>IF(VLOOKUP($H54,'How the score is generated (H)'!$B$4:$H$72,2,0)="ü",$Q54,0)</f>
        <v>#N/A</v>
      </c>
      <c r="V54" s="36" t="e">
        <f>IF(VLOOKUP($H54,'How the score is generated (H)'!$B$4:$H$72,2,0)="ü",$S54,0)</f>
        <v>#N/A</v>
      </c>
      <c r="W54" s="145" t="e">
        <f>IF($N54=0,0,IF(VLOOKUP($H54,'How the score is generated (H)'!$B$4:$H$72,2,0)="ü",2,0))</f>
        <v>#N/A</v>
      </c>
      <c r="X54" s="35" t="e">
        <f>IF(VLOOKUP($H54,'How the score is generated (H)'!$B$4:$H$72,3,0)="ü",$Q54,0)</f>
        <v>#N/A</v>
      </c>
      <c r="Y54" s="36" t="e">
        <f>IF(VLOOKUP($H54,'How the score is generated (H)'!$B$4:$H$72,3,0)="ü",$S54,0)</f>
        <v>#N/A</v>
      </c>
      <c r="Z54" s="145" t="e">
        <f>IF($N54=0,0,IF(VLOOKUP($H54,'How the score is generated (H)'!$B$4:$H$72,3,0)="ü",2,0))</f>
        <v>#N/A</v>
      </c>
      <c r="AA54" s="35" t="e">
        <f>IF(VLOOKUP($H54,'How the score is generated (H)'!$B$4:$H$72,4,0)="ü",$Q54,0)</f>
        <v>#N/A</v>
      </c>
      <c r="AB54" s="36" t="e">
        <f>IF(VLOOKUP($H54,'How the score is generated (H)'!$B$4:$H$72,4,0)="ü",$S54,0)</f>
        <v>#N/A</v>
      </c>
      <c r="AC54" s="145" t="e">
        <f>IF($N54=0,0,IF(VLOOKUP($H54,'How the score is generated (H)'!$B$4:$H$72,4,0)="ü",2,0))</f>
        <v>#N/A</v>
      </c>
      <c r="AD54" s="35" t="e">
        <f>IF(VLOOKUP($H54,'How the score is generated (H)'!$B$4:$H$72,5,0)="ü",$Q54,0)</f>
        <v>#N/A</v>
      </c>
      <c r="AE54" s="36" t="e">
        <f>IF(VLOOKUP($H54,'How the score is generated (H)'!$B$4:$H$72,5,0)="ü",$S54,0)</f>
        <v>#N/A</v>
      </c>
      <c r="AF54" s="145" t="e">
        <f>IF($N54=0,0,IF(VLOOKUP($H54,'How the score is generated (H)'!$B$4:$H$72,5,0)="ü",2,0))</f>
        <v>#N/A</v>
      </c>
      <c r="AG54" s="35" t="e">
        <f>IF(VLOOKUP($H54,'How the score is generated (H)'!$B$4:$H$72,6,0)="ü",$Q54,0)</f>
        <v>#N/A</v>
      </c>
      <c r="AH54" s="36" t="e">
        <f>IF(VLOOKUP($H54,'How the score is generated (H)'!$B$4:$H$72,6,0)="ü",$S54,0)</f>
        <v>#N/A</v>
      </c>
      <c r="AI54" s="145" t="e">
        <f>IF($N54=0,0,IF(VLOOKUP($H54,'How the score is generated (H)'!$B$4:$H$72,6,0)="ü",2,0))</f>
        <v>#N/A</v>
      </c>
      <c r="AJ54" s="35" t="e">
        <f>IF(VLOOKUP($H54,'How the score is generated (H)'!$B$4:$H$72,7,0)="ü",$Q54,0)</f>
        <v>#N/A</v>
      </c>
      <c r="AK54" s="36" t="e">
        <f>IF(VLOOKUP($H54,'How the score is generated (H)'!$B$4:$H$72,7,0)="ü",$S54,0)</f>
        <v>#N/A</v>
      </c>
      <c r="AL54" s="145" t="e">
        <f>IF($N54=0,0,IF(VLOOKUP($H54,'How the score is generated (H)'!$B$4:$H$72,7,0)="ü",2,0))</f>
        <v>#N/A</v>
      </c>
      <c r="AM54" s="35" t="e">
        <f>IF(VLOOKUP($H54,'How the score is generated (H)'!$B$4:$H$72,8,0)="ü",$Q54,0)</f>
        <v>#N/A</v>
      </c>
      <c r="AN54" s="36" t="e">
        <f>IF(VLOOKUP($H54,'How the score is generated (H)'!$B$4:$H$72,8,0)="ü",$S54,0)</f>
        <v>#N/A</v>
      </c>
      <c r="AO54" s="145" t="e">
        <f>IF($N54=0,0,IF(VLOOKUP($H54,'How the score is generated (H)'!$B$4:$H$72,8,0)="ü",2,0))</f>
        <v>#N/A</v>
      </c>
      <c r="AP54" s="23"/>
      <c r="AQ54" s="35" t="e">
        <f>IF(VLOOKUP($H54,'How the score is generated (P)'!$B$4:$I$72,2,0)="ü",$Q54,0)</f>
        <v>#N/A</v>
      </c>
      <c r="AR54" s="36" t="e">
        <f>IF(VLOOKUP($H54,'How the score is generated (P)'!$B$4:$I$72,2,0)="ü",$S54,0)</f>
        <v>#N/A</v>
      </c>
      <c r="AS54" s="145" t="e">
        <f>IF($N54=0,0,IF(VLOOKUP($H54,'How the score is generated (P)'!$B$4:$I$72,2,0)="ü",2,0))</f>
        <v>#N/A</v>
      </c>
      <c r="AT54" s="35" t="e">
        <f>IF(VLOOKUP($H54,'How the score is generated (P)'!$B$4:$I$72,3,0)="ü",$Q54,0)</f>
        <v>#N/A</v>
      </c>
      <c r="AU54" s="36" t="e">
        <f>IF(VLOOKUP($H54,'How the score is generated (P)'!$B$4:$I$72,3,0)="ü",$S54,0)</f>
        <v>#N/A</v>
      </c>
      <c r="AV54" s="145" t="e">
        <f>IF($N54=0,0,IF(VLOOKUP($H54,'How the score is generated (P)'!$B$4:$I$72,3,0)="ü",2,0))</f>
        <v>#N/A</v>
      </c>
      <c r="AW54" s="35" t="e">
        <f>IF(VLOOKUP($H54,'How the score is generated (P)'!$B$4:$I$72,4,0)="ü",$Q54,0)</f>
        <v>#N/A</v>
      </c>
      <c r="AX54" s="36" t="e">
        <f>IF(VLOOKUP($H54,'How the score is generated (P)'!$B$4:$I$72,4,0)="ü",$S54,0)</f>
        <v>#N/A</v>
      </c>
      <c r="AY54" s="145" t="e">
        <f>IF($N54=0,0,IF(VLOOKUP($H54,'How the score is generated (P)'!$B$4:$I$72,4,0)="ü",2,0))</f>
        <v>#N/A</v>
      </c>
      <c r="AZ54" s="35" t="e">
        <f>IF(VLOOKUP($H54,'How the score is generated (P)'!$B$4:$I$72,5,0)="ü",$Q54,0)</f>
        <v>#N/A</v>
      </c>
      <c r="BA54" s="36" t="e">
        <f>IF(VLOOKUP($H54,'How the score is generated (P)'!$B$4:$I$72,5,0)="ü",$S54,0)</f>
        <v>#N/A</v>
      </c>
      <c r="BB54" s="145" t="e">
        <f>IF($N54=0,0,IF(VLOOKUP($H54,'How the score is generated (P)'!$B$4:$I$72,5,0)="ü",2,0))</f>
        <v>#N/A</v>
      </c>
      <c r="BC54" s="35" t="e">
        <f>IF(VLOOKUP($H54,'How the score is generated (P)'!$B$4:$I$72,6,0)="ü",$Q54,0)</f>
        <v>#N/A</v>
      </c>
      <c r="BD54" s="36" t="e">
        <f>IF(VLOOKUP($H54,'How the score is generated (P)'!$B$4:$I$72,6,0)="ü",$S54,0)</f>
        <v>#N/A</v>
      </c>
      <c r="BE54" s="145" t="e">
        <f>IF($N54=0,0,IF(VLOOKUP($H54,'How the score is generated (P)'!$B$4:$I$72,6,0)="ü",2,0))</f>
        <v>#N/A</v>
      </c>
      <c r="BF54" s="35" t="e">
        <f>IF(VLOOKUP($H54,'How the score is generated (P)'!$B$4:$I$72,7,0)="ü",$Q54,0)</f>
        <v>#N/A</v>
      </c>
      <c r="BG54" s="36" t="e">
        <f>IF(VLOOKUP($H54,'How the score is generated (P)'!$B$4:$I$72,7,0)="ü",$S54,0)</f>
        <v>#N/A</v>
      </c>
      <c r="BH54" s="145" t="e">
        <f>IF($N54=0,0,IF(VLOOKUP($H54,'How the score is generated (P)'!$B$4:$I$72,7,0)="ü",2,0))</f>
        <v>#N/A</v>
      </c>
      <c r="BI54" s="35" t="e">
        <f>IF(VLOOKUP($H54,'How the score is generated (P)'!$B$4:$I$72,8,0)="ü",$Q54,0)</f>
        <v>#N/A</v>
      </c>
      <c r="BJ54" s="36" t="e">
        <f>IF(VLOOKUP($H54,'How the score is generated (P)'!$B$4:$I$72,8,0)="ü",$S54,0)</f>
        <v>#N/A</v>
      </c>
      <c r="BK54" s="145" t="e">
        <f>IF($N54=0,0,IF(VLOOKUP($H54,'How the score is generated (P)'!$B$4:$I$72,8,0)="ü",2,0))</f>
        <v>#N/A</v>
      </c>
      <c r="BL54" s="23"/>
      <c r="BM54" s="201"/>
      <c r="BN54" s="23"/>
      <c r="BO54" s="276" t="s">
        <v>492</v>
      </c>
      <c r="BT54" s="34" t="s">
        <v>177</v>
      </c>
      <c r="BU54" s="34" t="str">
        <f t="shared" si="26"/>
        <v>Residual Amber</v>
      </c>
      <c r="BV54" s="34">
        <f t="shared" si="27"/>
        <v>0</v>
      </c>
      <c r="BW54" s="34">
        <f t="shared" si="28"/>
        <v>0</v>
      </c>
      <c r="BX54" s="34" t="str">
        <f t="shared" si="29"/>
        <v>35. Quantity/area, continuity and quality of Green and Blue Infrastructure (including trees)</v>
      </c>
    </row>
    <row r="55" spans="1:76" ht="108.75" customHeight="1" thickBot="1" x14ac:dyDescent="0.4">
      <c r="A55" s="23"/>
      <c r="B55" s="76"/>
      <c r="C55" s="66" t="s">
        <v>162</v>
      </c>
      <c r="D55" s="164">
        <f t="shared" si="30"/>
        <v>36</v>
      </c>
      <c r="E55" s="182" t="s">
        <v>43</v>
      </c>
      <c r="F55" s="186" t="s">
        <v>43</v>
      </c>
      <c r="G55" s="39" t="s">
        <v>180</v>
      </c>
      <c r="H55" s="41" t="s">
        <v>510</v>
      </c>
      <c r="I55" s="272"/>
      <c r="J55" s="45"/>
      <c r="K55" s="227" t="s">
        <v>181</v>
      </c>
      <c r="L55" s="189" t="s">
        <v>512</v>
      </c>
      <c r="M55" s="191" t="s">
        <v>511</v>
      </c>
      <c r="N55" s="170">
        <f>IF(Project!$B$27="Off Highway",0,1)</f>
        <v>1</v>
      </c>
      <c r="O55" s="237">
        <f>IF(Scoring!O55="A",0,Scoring!O55)</f>
        <v>0</v>
      </c>
      <c r="P55" s="144">
        <f>IF(Scoring!P55="A",0,Scoring!P55)</f>
        <v>0</v>
      </c>
      <c r="Q55" s="129">
        <f t="shared" si="23"/>
        <v>0</v>
      </c>
      <c r="R55" s="34">
        <f t="shared" si="24"/>
        <v>2</v>
      </c>
      <c r="S55" s="34">
        <f>IF($N55=0,0,Scoring!P55)</f>
        <v>0</v>
      </c>
      <c r="T55" s="34">
        <f t="shared" si="25"/>
        <v>2</v>
      </c>
      <c r="U55" s="35" t="e">
        <f>IF(VLOOKUP($H55,'How the score is generated (H)'!$B$4:$H$72,2,0)="ü",$Q55,0)</f>
        <v>#N/A</v>
      </c>
      <c r="V55" s="36" t="e">
        <f>IF(VLOOKUP($H55,'How the score is generated (H)'!$B$4:$H$72,2,0)="ü",$S55,0)</f>
        <v>#N/A</v>
      </c>
      <c r="W55" s="145" t="e">
        <f>IF($N55=0,0,IF(VLOOKUP($H55,'How the score is generated (H)'!$B$4:$H$72,2,0)="ü",2,0))</f>
        <v>#N/A</v>
      </c>
      <c r="X55" s="35" t="e">
        <f>IF(VLOOKUP($H55,'How the score is generated (H)'!$B$4:$H$72,3,0)="ü",$Q55,0)</f>
        <v>#N/A</v>
      </c>
      <c r="Y55" s="36" t="e">
        <f>IF(VLOOKUP($H55,'How the score is generated (H)'!$B$4:$H$72,3,0)="ü",$S55,0)</f>
        <v>#N/A</v>
      </c>
      <c r="Z55" s="145" t="e">
        <f>IF($N55=0,0,IF(VLOOKUP($H55,'How the score is generated (H)'!$B$4:$H$72,3,0)="ü",2,0))</f>
        <v>#N/A</v>
      </c>
      <c r="AA55" s="35" t="e">
        <f>IF(VLOOKUP($H55,'How the score is generated (H)'!$B$4:$H$72,4,0)="ü",$Q55,0)</f>
        <v>#N/A</v>
      </c>
      <c r="AB55" s="36" t="e">
        <f>IF(VLOOKUP($H55,'How the score is generated (H)'!$B$4:$H$72,4,0)="ü",$S55,0)</f>
        <v>#N/A</v>
      </c>
      <c r="AC55" s="145" t="e">
        <f>IF($N55=0,0,IF(VLOOKUP($H55,'How the score is generated (H)'!$B$4:$H$72,4,0)="ü",2,0))</f>
        <v>#N/A</v>
      </c>
      <c r="AD55" s="35" t="e">
        <f>IF(VLOOKUP($H55,'How the score is generated (H)'!$B$4:$H$72,5,0)="ü",$Q55,0)</f>
        <v>#N/A</v>
      </c>
      <c r="AE55" s="36" t="e">
        <f>IF(VLOOKUP($H55,'How the score is generated (H)'!$B$4:$H$72,5,0)="ü",$S55,0)</f>
        <v>#N/A</v>
      </c>
      <c r="AF55" s="145" t="e">
        <f>IF($N55=0,0,IF(VLOOKUP($H55,'How the score is generated (H)'!$B$4:$H$72,5,0)="ü",2,0))</f>
        <v>#N/A</v>
      </c>
      <c r="AG55" s="35" t="e">
        <f>IF(VLOOKUP($H55,'How the score is generated (H)'!$B$4:$H$72,6,0)="ü",$Q55,0)</f>
        <v>#N/A</v>
      </c>
      <c r="AH55" s="36" t="e">
        <f>IF(VLOOKUP($H55,'How the score is generated (H)'!$B$4:$H$72,6,0)="ü",$S55,0)</f>
        <v>#N/A</v>
      </c>
      <c r="AI55" s="145" t="e">
        <f>IF($N55=0,0,IF(VLOOKUP($H55,'How the score is generated (H)'!$B$4:$H$72,6,0)="ü",2,0))</f>
        <v>#N/A</v>
      </c>
      <c r="AJ55" s="35" t="e">
        <f>IF(VLOOKUP($H55,'How the score is generated (H)'!$B$4:$H$72,7,0)="ü",$Q55,0)</f>
        <v>#N/A</v>
      </c>
      <c r="AK55" s="36" t="e">
        <f>IF(VLOOKUP($H55,'How the score is generated (H)'!$B$4:$H$72,7,0)="ü",$S55,0)</f>
        <v>#N/A</v>
      </c>
      <c r="AL55" s="145" t="e">
        <f>IF($N55=0,0,IF(VLOOKUP($H55,'How the score is generated (H)'!$B$4:$H$72,7,0)="ü",2,0))</f>
        <v>#N/A</v>
      </c>
      <c r="AM55" s="35" t="e">
        <f>IF(VLOOKUP($H55,'How the score is generated (H)'!$B$4:$H$72,8,0)="ü",$Q55,0)</f>
        <v>#N/A</v>
      </c>
      <c r="AN55" s="36" t="e">
        <f>IF(VLOOKUP($H55,'How the score is generated (H)'!$B$4:$H$72,8,0)="ü",$S55,0)</f>
        <v>#N/A</v>
      </c>
      <c r="AO55" s="145" t="e">
        <f>IF($N55=0,0,IF(VLOOKUP($H55,'How the score is generated (H)'!$B$4:$H$72,8,0)="ü",2,0))</f>
        <v>#N/A</v>
      </c>
      <c r="AP55" s="23"/>
      <c r="AQ55" s="35" t="e">
        <f>IF(VLOOKUP($H55,'How the score is generated (P)'!$B$4:$I$72,2,0)="ü",$Q55,0)</f>
        <v>#N/A</v>
      </c>
      <c r="AR55" s="36" t="e">
        <f>IF(VLOOKUP($H55,'How the score is generated (P)'!$B$4:$I$72,2,0)="ü",$S55,0)</f>
        <v>#N/A</v>
      </c>
      <c r="AS55" s="145" t="e">
        <f>IF($N55=0,0,IF(VLOOKUP($H55,'How the score is generated (P)'!$B$4:$I$72,2,0)="ü",2,0))</f>
        <v>#N/A</v>
      </c>
      <c r="AT55" s="35" t="e">
        <f>IF(VLOOKUP($H55,'How the score is generated (P)'!$B$4:$I$72,3,0)="ü",$Q55,0)</f>
        <v>#N/A</v>
      </c>
      <c r="AU55" s="36" t="e">
        <f>IF(VLOOKUP($H55,'How the score is generated (P)'!$B$4:$I$72,3,0)="ü",$S55,0)</f>
        <v>#N/A</v>
      </c>
      <c r="AV55" s="145" t="e">
        <f>IF($N55=0,0,IF(VLOOKUP($H55,'How the score is generated (P)'!$B$4:$I$72,3,0)="ü",2,0))</f>
        <v>#N/A</v>
      </c>
      <c r="AW55" s="35" t="e">
        <f>IF(VLOOKUP($H55,'How the score is generated (P)'!$B$4:$I$72,4,0)="ü",$Q55,0)</f>
        <v>#N/A</v>
      </c>
      <c r="AX55" s="36" t="e">
        <f>IF(VLOOKUP($H55,'How the score is generated (P)'!$B$4:$I$72,4,0)="ü",$S55,0)</f>
        <v>#N/A</v>
      </c>
      <c r="AY55" s="145" t="e">
        <f>IF($N55=0,0,IF(VLOOKUP($H55,'How the score is generated (P)'!$B$4:$I$72,4,0)="ü",2,0))</f>
        <v>#N/A</v>
      </c>
      <c r="AZ55" s="35" t="e">
        <f>IF(VLOOKUP($H55,'How the score is generated (P)'!$B$4:$I$72,5,0)="ü",$Q55,0)</f>
        <v>#N/A</v>
      </c>
      <c r="BA55" s="36" t="e">
        <f>IF(VLOOKUP($H55,'How the score is generated (P)'!$B$4:$I$72,5,0)="ü",$S55,0)</f>
        <v>#N/A</v>
      </c>
      <c r="BB55" s="145" t="e">
        <f>IF($N55=0,0,IF(VLOOKUP($H55,'How the score is generated (P)'!$B$4:$I$72,5,0)="ü",2,0))</f>
        <v>#N/A</v>
      </c>
      <c r="BC55" s="35" t="e">
        <f>IF(VLOOKUP($H55,'How the score is generated (P)'!$B$4:$I$72,6,0)="ü",$Q55,0)</f>
        <v>#N/A</v>
      </c>
      <c r="BD55" s="36" t="e">
        <f>IF(VLOOKUP($H55,'How the score is generated (P)'!$B$4:$I$72,6,0)="ü",$S55,0)</f>
        <v>#N/A</v>
      </c>
      <c r="BE55" s="145" t="e">
        <f>IF($N55=0,0,IF(VLOOKUP($H55,'How the score is generated (P)'!$B$4:$I$72,6,0)="ü",2,0))</f>
        <v>#N/A</v>
      </c>
      <c r="BF55" s="35" t="e">
        <f>IF(VLOOKUP($H55,'How the score is generated (P)'!$B$4:$I$72,7,0)="ü",$Q55,0)</f>
        <v>#N/A</v>
      </c>
      <c r="BG55" s="36" t="e">
        <f>IF(VLOOKUP($H55,'How the score is generated (P)'!$B$4:$I$72,7,0)="ü",$S55,0)</f>
        <v>#N/A</v>
      </c>
      <c r="BH55" s="145" t="e">
        <f>IF($N55=0,0,IF(VLOOKUP($H55,'How the score is generated (P)'!$B$4:$I$72,7,0)="ü",2,0))</f>
        <v>#N/A</v>
      </c>
      <c r="BI55" s="35" t="e">
        <f>IF(VLOOKUP($H55,'How the score is generated (P)'!$B$4:$I$72,8,0)="ü",$Q55,0)</f>
        <v>#N/A</v>
      </c>
      <c r="BJ55" s="36" t="e">
        <f>IF(VLOOKUP($H55,'How the score is generated (P)'!$B$4:$I$72,8,0)="ü",$S55,0)</f>
        <v>#N/A</v>
      </c>
      <c r="BK55" s="145" t="e">
        <f>IF($N55=0,0,IF(VLOOKUP($H55,'How the score is generated (P)'!$B$4:$I$72,8,0)="ü",2,0))</f>
        <v>#N/A</v>
      </c>
      <c r="BL55" s="23"/>
      <c r="BM55" s="201"/>
      <c r="BN55" s="23"/>
      <c r="BO55" s="276" t="s">
        <v>553</v>
      </c>
      <c r="BT55" s="34" t="s">
        <v>177</v>
      </c>
      <c r="BU55" s="34" t="str">
        <f t="shared" si="26"/>
        <v>Residual Amber</v>
      </c>
      <c r="BV55" s="34">
        <f t="shared" si="27"/>
        <v>0</v>
      </c>
      <c r="BW55" s="34">
        <f t="shared" si="28"/>
        <v>0</v>
      </c>
      <c r="BX55" s="34" t="str">
        <f t="shared" si="29"/>
        <v>36. Functionality of green and blue infrastructure contributing to integrated water management (Resilience to extreme weather events)</v>
      </c>
    </row>
    <row r="56" spans="1:76" ht="105" customHeight="1" thickBot="1" x14ac:dyDescent="0.4">
      <c r="A56" s="23"/>
      <c r="B56" s="76"/>
      <c r="C56" s="66" t="s">
        <v>162</v>
      </c>
      <c r="D56" s="164">
        <f t="shared" si="30"/>
        <v>37</v>
      </c>
      <c r="E56" s="38" t="s">
        <v>43</v>
      </c>
      <c r="F56" s="198" t="s">
        <v>43</v>
      </c>
      <c r="G56" s="39" t="s">
        <v>182</v>
      </c>
      <c r="H56" s="41" t="s">
        <v>183</v>
      </c>
      <c r="I56" s="272"/>
      <c r="J56" s="40" t="s">
        <v>462</v>
      </c>
      <c r="K56" s="41" t="s">
        <v>184</v>
      </c>
      <c r="L56" s="41" t="s">
        <v>185</v>
      </c>
      <c r="M56" s="42" t="s">
        <v>186</v>
      </c>
      <c r="N56" s="170">
        <f>IF(Project!$B$27="Off Highway",0,1)</f>
        <v>1</v>
      </c>
      <c r="O56" s="237">
        <f>IF(Scoring!O56="A",0,Scoring!O56)</f>
        <v>0</v>
      </c>
      <c r="P56" s="144">
        <f>IF(Scoring!P56="A",0,Scoring!P56)</f>
        <v>0</v>
      </c>
      <c r="Q56" s="129">
        <f t="shared" si="23"/>
        <v>0</v>
      </c>
      <c r="R56" s="34">
        <f t="shared" si="24"/>
        <v>2</v>
      </c>
      <c r="S56" s="34">
        <f>IF($N56=0,0,Scoring!P56)</f>
        <v>0</v>
      </c>
      <c r="T56" s="34">
        <f t="shared" si="25"/>
        <v>2</v>
      </c>
      <c r="U56" s="35" t="e">
        <f>IF(VLOOKUP($H56,'How the score is generated (H)'!$B$4:$H$72,2,0)="ü",$Q56,0)</f>
        <v>#N/A</v>
      </c>
      <c r="V56" s="36" t="e">
        <f>IF(VLOOKUP($H56,'How the score is generated (H)'!$B$4:$H$72,2,0)="ü",$S56,0)</f>
        <v>#N/A</v>
      </c>
      <c r="W56" s="145" t="e">
        <f>IF($N56=0,0,IF(VLOOKUP($H56,'How the score is generated (H)'!$B$4:$H$72,2,0)="ü",2,0))</f>
        <v>#N/A</v>
      </c>
      <c r="X56" s="35" t="e">
        <f>IF(VLOOKUP($H56,'How the score is generated (H)'!$B$4:$H$72,3,0)="ü",$Q56,0)</f>
        <v>#N/A</v>
      </c>
      <c r="Y56" s="36" t="e">
        <f>IF(VLOOKUP($H56,'How the score is generated (H)'!$B$4:$H$72,3,0)="ü",$S56,0)</f>
        <v>#N/A</v>
      </c>
      <c r="Z56" s="145" t="e">
        <f>IF($N56=0,0,IF(VLOOKUP($H56,'How the score is generated (H)'!$B$4:$H$72,3,0)="ü",2,0))</f>
        <v>#N/A</v>
      </c>
      <c r="AA56" s="35" t="e">
        <f>IF(VLOOKUP($H56,'How the score is generated (H)'!$B$4:$H$72,4,0)="ü",$Q56,0)</f>
        <v>#N/A</v>
      </c>
      <c r="AB56" s="36" t="e">
        <f>IF(VLOOKUP($H56,'How the score is generated (H)'!$B$4:$H$72,4,0)="ü",$S56,0)</f>
        <v>#N/A</v>
      </c>
      <c r="AC56" s="145" t="e">
        <f>IF($N56=0,0,IF(VLOOKUP($H56,'How the score is generated (H)'!$B$4:$H$72,4,0)="ü",2,0))</f>
        <v>#N/A</v>
      </c>
      <c r="AD56" s="35" t="e">
        <f>IF(VLOOKUP($H56,'How the score is generated (H)'!$B$4:$H$72,5,0)="ü",$Q56,0)</f>
        <v>#N/A</v>
      </c>
      <c r="AE56" s="36" t="e">
        <f>IF(VLOOKUP($H56,'How the score is generated (H)'!$B$4:$H$72,5,0)="ü",$S56,0)</f>
        <v>#N/A</v>
      </c>
      <c r="AF56" s="145" t="e">
        <f>IF($N56=0,0,IF(VLOOKUP($H56,'How the score is generated (H)'!$B$4:$H$72,5,0)="ü",2,0))</f>
        <v>#N/A</v>
      </c>
      <c r="AG56" s="35" t="e">
        <f>IF(VLOOKUP($H56,'How the score is generated (H)'!$B$4:$H$72,6,0)="ü",$Q56,0)</f>
        <v>#N/A</v>
      </c>
      <c r="AH56" s="36" t="e">
        <f>IF(VLOOKUP($H56,'How the score is generated (H)'!$B$4:$H$72,6,0)="ü",$S56,0)</f>
        <v>#N/A</v>
      </c>
      <c r="AI56" s="145" t="e">
        <f>IF($N56=0,0,IF(VLOOKUP($H56,'How the score is generated (H)'!$B$4:$H$72,6,0)="ü",2,0))</f>
        <v>#N/A</v>
      </c>
      <c r="AJ56" s="35" t="e">
        <f>IF(VLOOKUP($H56,'How the score is generated (H)'!$B$4:$H$72,7,0)="ü",$Q56,0)</f>
        <v>#N/A</v>
      </c>
      <c r="AK56" s="36" t="e">
        <f>IF(VLOOKUP($H56,'How the score is generated (H)'!$B$4:$H$72,7,0)="ü",$S56,0)</f>
        <v>#N/A</v>
      </c>
      <c r="AL56" s="145" t="e">
        <f>IF($N56=0,0,IF(VLOOKUP($H56,'How the score is generated (H)'!$B$4:$H$72,7,0)="ü",2,0))</f>
        <v>#N/A</v>
      </c>
      <c r="AM56" s="35" t="e">
        <f>IF(VLOOKUP($H56,'How the score is generated (H)'!$B$4:$H$72,8,0)="ü",$Q56,0)</f>
        <v>#N/A</v>
      </c>
      <c r="AN56" s="36" t="e">
        <f>IF(VLOOKUP($H56,'How the score is generated (H)'!$B$4:$H$72,8,0)="ü",$S56,0)</f>
        <v>#N/A</v>
      </c>
      <c r="AO56" s="145" t="e">
        <f>IF($N56=0,0,IF(VLOOKUP($H56,'How the score is generated (H)'!$B$4:$H$72,8,0)="ü",2,0))</f>
        <v>#N/A</v>
      </c>
      <c r="AP56" s="23"/>
      <c r="AQ56" s="35" t="e">
        <f>IF(VLOOKUP($H56,'How the score is generated (P)'!$B$4:$I$72,2,0)="ü",$Q56,0)</f>
        <v>#N/A</v>
      </c>
      <c r="AR56" s="36" t="e">
        <f>IF(VLOOKUP($H56,'How the score is generated (P)'!$B$4:$I$72,2,0)="ü",$S56,0)</f>
        <v>#N/A</v>
      </c>
      <c r="AS56" s="145" t="e">
        <f>IF($N56=0,0,IF(VLOOKUP($H56,'How the score is generated (P)'!$B$4:$I$72,2,0)="ü",2,0))</f>
        <v>#N/A</v>
      </c>
      <c r="AT56" s="35" t="e">
        <f>IF(VLOOKUP($H56,'How the score is generated (P)'!$B$4:$I$72,3,0)="ü",$Q56,0)</f>
        <v>#N/A</v>
      </c>
      <c r="AU56" s="36" t="e">
        <f>IF(VLOOKUP($H56,'How the score is generated (P)'!$B$4:$I$72,3,0)="ü",$S56,0)</f>
        <v>#N/A</v>
      </c>
      <c r="AV56" s="145" t="e">
        <f>IF($N56=0,0,IF(VLOOKUP($H56,'How the score is generated (P)'!$B$4:$I$72,3,0)="ü",2,0))</f>
        <v>#N/A</v>
      </c>
      <c r="AW56" s="35" t="e">
        <f>IF(VLOOKUP($H56,'How the score is generated (P)'!$B$4:$I$72,4,0)="ü",$Q56,0)</f>
        <v>#N/A</v>
      </c>
      <c r="AX56" s="36" t="e">
        <f>IF(VLOOKUP($H56,'How the score is generated (P)'!$B$4:$I$72,4,0)="ü",$S56,0)</f>
        <v>#N/A</v>
      </c>
      <c r="AY56" s="145" t="e">
        <f>IF($N56=0,0,IF(VLOOKUP($H56,'How the score is generated (P)'!$B$4:$I$72,4,0)="ü",2,0))</f>
        <v>#N/A</v>
      </c>
      <c r="AZ56" s="35" t="e">
        <f>IF(VLOOKUP($H56,'How the score is generated (P)'!$B$4:$I$72,5,0)="ü",$Q56,0)</f>
        <v>#N/A</v>
      </c>
      <c r="BA56" s="36" t="e">
        <f>IF(VLOOKUP($H56,'How the score is generated (P)'!$B$4:$I$72,5,0)="ü",$S56,0)</f>
        <v>#N/A</v>
      </c>
      <c r="BB56" s="145" t="e">
        <f>IF($N56=0,0,IF(VLOOKUP($H56,'How the score is generated (P)'!$B$4:$I$72,5,0)="ü",2,0))</f>
        <v>#N/A</v>
      </c>
      <c r="BC56" s="35" t="e">
        <f>IF(VLOOKUP($H56,'How the score is generated (P)'!$B$4:$I$72,6,0)="ü",$Q56,0)</f>
        <v>#N/A</v>
      </c>
      <c r="BD56" s="36" t="e">
        <f>IF(VLOOKUP($H56,'How the score is generated (P)'!$B$4:$I$72,6,0)="ü",$S56,0)</f>
        <v>#N/A</v>
      </c>
      <c r="BE56" s="145" t="e">
        <f>IF($N56=0,0,IF(VLOOKUP($H56,'How the score is generated (P)'!$B$4:$I$72,6,0)="ü",2,0))</f>
        <v>#N/A</v>
      </c>
      <c r="BF56" s="35" t="e">
        <f>IF(VLOOKUP($H56,'How the score is generated (P)'!$B$4:$I$72,7,0)="ü",$Q56,0)</f>
        <v>#N/A</v>
      </c>
      <c r="BG56" s="36" t="e">
        <f>IF(VLOOKUP($H56,'How the score is generated (P)'!$B$4:$I$72,7,0)="ü",$S56,0)</f>
        <v>#N/A</v>
      </c>
      <c r="BH56" s="145" t="e">
        <f>IF($N56=0,0,IF(VLOOKUP($H56,'How the score is generated (P)'!$B$4:$I$72,7,0)="ü",2,0))</f>
        <v>#N/A</v>
      </c>
      <c r="BI56" s="35" t="e">
        <f>IF(VLOOKUP($H56,'How the score is generated (P)'!$B$4:$I$72,8,0)="ü",$Q56,0)</f>
        <v>#N/A</v>
      </c>
      <c r="BJ56" s="36" t="e">
        <f>IF(VLOOKUP($H56,'How the score is generated (P)'!$B$4:$I$72,8,0)="ü",$S56,0)</f>
        <v>#N/A</v>
      </c>
      <c r="BK56" s="145" t="e">
        <f>IF($N56=0,0,IF(VLOOKUP($H56,'How the score is generated (P)'!$B$4:$I$72,8,0)="ü",2,0))</f>
        <v>#N/A</v>
      </c>
      <c r="BL56" s="23"/>
      <c r="BM56" s="201"/>
      <c r="BN56" s="23"/>
      <c r="BO56" s="146"/>
      <c r="BT56" s="34"/>
      <c r="BU56" s="34" t="str">
        <f t="shared" si="26"/>
        <v/>
      </c>
      <c r="BV56" s="34">
        <f t="shared" si="27"/>
        <v>0</v>
      </c>
      <c r="BW56" s="34">
        <f t="shared" si="28"/>
        <v>0</v>
      </c>
      <c r="BX56" s="34" t="str">
        <f t="shared" si="29"/>
        <v>37. Contextual choice of materials and furniture and consideration given to street legibility for visually impaired users</v>
      </c>
    </row>
    <row r="57" spans="1:76" ht="39.5" thickBot="1" x14ac:dyDescent="0.4">
      <c r="A57" s="23"/>
      <c r="B57" s="76"/>
      <c r="C57" s="66" t="s">
        <v>162</v>
      </c>
      <c r="D57" s="164">
        <f t="shared" si="30"/>
        <v>38</v>
      </c>
      <c r="E57" s="44" t="s">
        <v>39</v>
      </c>
      <c r="F57" s="198" t="s">
        <v>43</v>
      </c>
      <c r="G57" s="39" t="s">
        <v>187</v>
      </c>
      <c r="H57" s="41" t="s">
        <v>188</v>
      </c>
      <c r="I57" s="272"/>
      <c r="J57" s="45"/>
      <c r="K57" s="41" t="s">
        <v>189</v>
      </c>
      <c r="L57" s="41" t="s">
        <v>190</v>
      </c>
      <c r="M57" s="42" t="s">
        <v>191</v>
      </c>
      <c r="N57" s="170">
        <f>IF(Project!$B$27="Off Highway",0,1)</f>
        <v>1</v>
      </c>
      <c r="O57" s="237">
        <f>IF(Scoring!O57="A",0,Scoring!O57)</f>
        <v>0</v>
      </c>
      <c r="P57" s="144">
        <f>IF(Scoring!P57="A",0,Scoring!P57)</f>
        <v>0</v>
      </c>
      <c r="Q57" s="129">
        <f t="shared" si="23"/>
        <v>0</v>
      </c>
      <c r="R57" s="34">
        <f t="shared" si="24"/>
        <v>2</v>
      </c>
      <c r="S57" s="34">
        <f>IF($N57=0,0,Scoring!P57)</f>
        <v>0</v>
      </c>
      <c r="T57" s="34">
        <f t="shared" si="25"/>
        <v>2</v>
      </c>
      <c r="U57" s="35" t="e">
        <f>IF(VLOOKUP($H57,'How the score is generated (H)'!$B$4:$H$72,2,0)="ü",$Q57,0)</f>
        <v>#N/A</v>
      </c>
      <c r="V57" s="36" t="e">
        <f>IF(VLOOKUP($H57,'How the score is generated (H)'!$B$4:$H$72,2,0)="ü",$S57,0)</f>
        <v>#N/A</v>
      </c>
      <c r="W57" s="145" t="e">
        <f>IF($N57=0,0,IF(VLOOKUP($H57,'How the score is generated (H)'!$B$4:$H$72,2,0)="ü",2,0))</f>
        <v>#N/A</v>
      </c>
      <c r="X57" s="35" t="e">
        <f>IF(VLOOKUP($H57,'How the score is generated (H)'!$B$4:$H$72,3,0)="ü",$Q57,0)</f>
        <v>#N/A</v>
      </c>
      <c r="Y57" s="36" t="e">
        <f>IF(VLOOKUP($H57,'How the score is generated (H)'!$B$4:$H$72,3,0)="ü",$S57,0)</f>
        <v>#N/A</v>
      </c>
      <c r="Z57" s="145" t="e">
        <f>IF($N57=0,0,IF(VLOOKUP($H57,'How the score is generated (H)'!$B$4:$H$72,3,0)="ü",2,0))</f>
        <v>#N/A</v>
      </c>
      <c r="AA57" s="35" t="e">
        <f>IF(VLOOKUP($H57,'How the score is generated (H)'!$B$4:$H$72,4,0)="ü",$Q57,0)</f>
        <v>#N/A</v>
      </c>
      <c r="AB57" s="36" t="e">
        <f>IF(VLOOKUP($H57,'How the score is generated (H)'!$B$4:$H$72,4,0)="ü",$S57,0)</f>
        <v>#N/A</v>
      </c>
      <c r="AC57" s="145" t="e">
        <f>IF($N57=0,0,IF(VLOOKUP($H57,'How the score is generated (H)'!$B$4:$H$72,4,0)="ü",2,0))</f>
        <v>#N/A</v>
      </c>
      <c r="AD57" s="35" t="e">
        <f>IF(VLOOKUP($H57,'How the score is generated (H)'!$B$4:$H$72,5,0)="ü",$Q57,0)</f>
        <v>#N/A</v>
      </c>
      <c r="AE57" s="36" t="e">
        <f>IF(VLOOKUP($H57,'How the score is generated (H)'!$B$4:$H$72,5,0)="ü",$S57,0)</f>
        <v>#N/A</v>
      </c>
      <c r="AF57" s="145" t="e">
        <f>IF($N57=0,0,IF(VLOOKUP($H57,'How the score is generated (H)'!$B$4:$H$72,5,0)="ü",2,0))</f>
        <v>#N/A</v>
      </c>
      <c r="AG57" s="35" t="e">
        <f>IF(VLOOKUP($H57,'How the score is generated (H)'!$B$4:$H$72,6,0)="ü",$Q57,0)</f>
        <v>#N/A</v>
      </c>
      <c r="AH57" s="36" t="e">
        <f>IF(VLOOKUP($H57,'How the score is generated (H)'!$B$4:$H$72,6,0)="ü",$S57,0)</f>
        <v>#N/A</v>
      </c>
      <c r="AI57" s="145" t="e">
        <f>IF($N57=0,0,IF(VLOOKUP($H57,'How the score is generated (H)'!$B$4:$H$72,6,0)="ü",2,0))</f>
        <v>#N/A</v>
      </c>
      <c r="AJ57" s="35" t="e">
        <f>IF(VLOOKUP($H57,'How the score is generated (H)'!$B$4:$H$72,7,0)="ü",$Q57,0)</f>
        <v>#N/A</v>
      </c>
      <c r="AK57" s="36" t="e">
        <f>IF(VLOOKUP($H57,'How the score is generated (H)'!$B$4:$H$72,7,0)="ü",$S57,0)</f>
        <v>#N/A</v>
      </c>
      <c r="AL57" s="145" t="e">
        <f>IF($N57=0,0,IF(VLOOKUP($H57,'How the score is generated (H)'!$B$4:$H$72,7,0)="ü",2,0))</f>
        <v>#N/A</v>
      </c>
      <c r="AM57" s="35" t="e">
        <f>IF(VLOOKUP($H57,'How the score is generated (H)'!$B$4:$H$72,8,0)="ü",$Q57,0)</f>
        <v>#N/A</v>
      </c>
      <c r="AN57" s="36" t="e">
        <f>IF(VLOOKUP($H57,'How the score is generated (H)'!$B$4:$H$72,8,0)="ü",$S57,0)</f>
        <v>#N/A</v>
      </c>
      <c r="AO57" s="145" t="e">
        <f>IF($N57=0,0,IF(VLOOKUP($H57,'How the score is generated (H)'!$B$4:$H$72,8,0)="ü",2,0))</f>
        <v>#N/A</v>
      </c>
      <c r="AP57" s="23"/>
      <c r="AQ57" s="35" t="e">
        <f>IF(VLOOKUP($H57,'How the score is generated (P)'!$B$4:$I$72,2,0)="ü",$Q57,0)</f>
        <v>#N/A</v>
      </c>
      <c r="AR57" s="36" t="e">
        <f>IF(VLOOKUP($H57,'How the score is generated (P)'!$B$4:$I$72,2,0)="ü",$S57,0)</f>
        <v>#N/A</v>
      </c>
      <c r="AS57" s="145" t="e">
        <f>IF($N57=0,0,IF(VLOOKUP($H57,'How the score is generated (P)'!$B$4:$I$72,2,0)="ü",2,0))</f>
        <v>#N/A</v>
      </c>
      <c r="AT57" s="35" t="e">
        <f>IF(VLOOKUP($H57,'How the score is generated (P)'!$B$4:$I$72,3,0)="ü",$Q57,0)</f>
        <v>#N/A</v>
      </c>
      <c r="AU57" s="36" t="e">
        <f>IF(VLOOKUP($H57,'How the score is generated (P)'!$B$4:$I$72,3,0)="ü",$S57,0)</f>
        <v>#N/A</v>
      </c>
      <c r="AV57" s="145" t="e">
        <f>IF($N57=0,0,IF(VLOOKUP($H57,'How the score is generated (P)'!$B$4:$I$72,3,0)="ü",2,0))</f>
        <v>#N/A</v>
      </c>
      <c r="AW57" s="35" t="e">
        <f>IF(VLOOKUP($H57,'How the score is generated (P)'!$B$4:$I$72,4,0)="ü",$Q57,0)</f>
        <v>#N/A</v>
      </c>
      <c r="AX57" s="36" t="e">
        <f>IF(VLOOKUP($H57,'How the score is generated (P)'!$B$4:$I$72,4,0)="ü",$S57,0)</f>
        <v>#N/A</v>
      </c>
      <c r="AY57" s="145" t="e">
        <f>IF($N57=0,0,IF(VLOOKUP($H57,'How the score is generated (P)'!$B$4:$I$72,4,0)="ü",2,0))</f>
        <v>#N/A</v>
      </c>
      <c r="AZ57" s="35" t="e">
        <f>IF(VLOOKUP($H57,'How the score is generated (P)'!$B$4:$I$72,5,0)="ü",$Q57,0)</f>
        <v>#N/A</v>
      </c>
      <c r="BA57" s="36" t="e">
        <f>IF(VLOOKUP($H57,'How the score is generated (P)'!$B$4:$I$72,5,0)="ü",$S57,0)</f>
        <v>#N/A</v>
      </c>
      <c r="BB57" s="145" t="e">
        <f>IF($N57=0,0,IF(VLOOKUP($H57,'How the score is generated (P)'!$B$4:$I$72,5,0)="ü",2,0))</f>
        <v>#N/A</v>
      </c>
      <c r="BC57" s="35" t="e">
        <f>IF(VLOOKUP($H57,'How the score is generated (P)'!$B$4:$I$72,6,0)="ü",$Q57,0)</f>
        <v>#N/A</v>
      </c>
      <c r="BD57" s="36" t="e">
        <f>IF(VLOOKUP($H57,'How the score is generated (P)'!$B$4:$I$72,6,0)="ü",$S57,0)</f>
        <v>#N/A</v>
      </c>
      <c r="BE57" s="145" t="e">
        <f>IF($N57=0,0,IF(VLOOKUP($H57,'How the score is generated (P)'!$B$4:$I$72,6,0)="ü",2,0))</f>
        <v>#N/A</v>
      </c>
      <c r="BF57" s="35" t="e">
        <f>IF(VLOOKUP($H57,'How the score is generated (P)'!$B$4:$I$72,7,0)="ü",$Q57,0)</f>
        <v>#N/A</v>
      </c>
      <c r="BG57" s="36" t="e">
        <f>IF(VLOOKUP($H57,'How the score is generated (P)'!$B$4:$I$72,7,0)="ü",$S57,0)</f>
        <v>#N/A</v>
      </c>
      <c r="BH57" s="145" t="e">
        <f>IF($N57=0,0,IF(VLOOKUP($H57,'How the score is generated (P)'!$B$4:$I$72,7,0)="ü",2,0))</f>
        <v>#N/A</v>
      </c>
      <c r="BI57" s="35" t="e">
        <f>IF(VLOOKUP($H57,'How the score is generated (P)'!$B$4:$I$72,8,0)="ü",$Q57,0)</f>
        <v>#N/A</v>
      </c>
      <c r="BJ57" s="36" t="e">
        <f>IF(VLOOKUP($H57,'How the score is generated (P)'!$B$4:$I$72,8,0)="ü",$S57,0)</f>
        <v>#N/A</v>
      </c>
      <c r="BK57" s="145" t="e">
        <f>IF($N57=0,0,IF(VLOOKUP($H57,'How the score is generated (P)'!$B$4:$I$72,8,0)="ü",2,0))</f>
        <v>#N/A</v>
      </c>
      <c r="BL57" s="23"/>
      <c r="BM57" s="201"/>
      <c r="BN57" s="23"/>
      <c r="BO57" s="276" t="s">
        <v>521</v>
      </c>
      <c r="BT57" s="34"/>
      <c r="BU57" s="34" t="str">
        <f t="shared" si="26"/>
        <v/>
      </c>
      <c r="BV57" s="34">
        <f t="shared" si="27"/>
        <v>0</v>
      </c>
      <c r="BW57" s="34">
        <f t="shared" si="28"/>
        <v>0</v>
      </c>
      <c r="BX57" s="34" t="str">
        <f t="shared" si="29"/>
        <v>38. Area permeability and legibility</v>
      </c>
    </row>
    <row r="58" spans="1:76" ht="65.5" thickBot="1" x14ac:dyDescent="0.4">
      <c r="A58" s="23"/>
      <c r="B58" s="76"/>
      <c r="C58" s="66" t="s">
        <v>162</v>
      </c>
      <c r="D58" s="164">
        <f t="shared" si="30"/>
        <v>39</v>
      </c>
      <c r="E58" s="38" t="s">
        <v>43</v>
      </c>
      <c r="F58" s="198" t="s">
        <v>43</v>
      </c>
      <c r="G58" s="39" t="s">
        <v>192</v>
      </c>
      <c r="H58" s="41" t="s">
        <v>193</v>
      </c>
      <c r="I58" s="272"/>
      <c r="J58" s="45"/>
      <c r="K58" s="41" t="s">
        <v>194</v>
      </c>
      <c r="L58" s="41" t="s">
        <v>195</v>
      </c>
      <c r="M58" s="42" t="s">
        <v>196</v>
      </c>
      <c r="N58" s="170">
        <f>IF(Project!$B$27="Off Highway",0,1)</f>
        <v>1</v>
      </c>
      <c r="O58" s="237">
        <f>IF(Scoring!O58="A",0,Scoring!O58)</f>
        <v>0</v>
      </c>
      <c r="P58" s="144">
        <f>IF(Scoring!P58="A",0,Scoring!P58)</f>
        <v>0</v>
      </c>
      <c r="Q58" s="129">
        <f t="shared" si="23"/>
        <v>0</v>
      </c>
      <c r="R58" s="34">
        <f t="shared" si="24"/>
        <v>2</v>
      </c>
      <c r="S58" s="34">
        <f>IF($N58=0,0,Scoring!P58)</f>
        <v>0</v>
      </c>
      <c r="T58" s="34">
        <f t="shared" si="25"/>
        <v>2</v>
      </c>
      <c r="U58" s="35" t="e">
        <f>IF(VLOOKUP($H58,'How the score is generated (H)'!$B$4:$H$72,2,0)="ü",$Q58,0)</f>
        <v>#N/A</v>
      </c>
      <c r="V58" s="36" t="e">
        <f>IF(VLOOKUP($H58,'How the score is generated (H)'!$B$4:$H$72,2,0)="ü",$S58,0)</f>
        <v>#N/A</v>
      </c>
      <c r="W58" s="145" t="e">
        <f>IF($N58=0,0,IF(VLOOKUP($H58,'How the score is generated (H)'!$B$4:$H$72,2,0)="ü",2,0))</f>
        <v>#N/A</v>
      </c>
      <c r="X58" s="35" t="e">
        <f>IF(VLOOKUP($H58,'How the score is generated (H)'!$B$4:$H$72,3,0)="ü",$Q58,0)</f>
        <v>#N/A</v>
      </c>
      <c r="Y58" s="36" t="e">
        <f>IF(VLOOKUP($H58,'How the score is generated (H)'!$B$4:$H$72,3,0)="ü",$S58,0)</f>
        <v>#N/A</v>
      </c>
      <c r="Z58" s="145" t="e">
        <f>IF($N58=0,0,IF(VLOOKUP($H58,'How the score is generated (H)'!$B$4:$H$72,3,0)="ü",2,0))</f>
        <v>#N/A</v>
      </c>
      <c r="AA58" s="35" t="e">
        <f>IF(VLOOKUP($H58,'How the score is generated (H)'!$B$4:$H$72,4,0)="ü",$Q58,0)</f>
        <v>#N/A</v>
      </c>
      <c r="AB58" s="36" t="e">
        <f>IF(VLOOKUP($H58,'How the score is generated (H)'!$B$4:$H$72,4,0)="ü",$S58,0)</f>
        <v>#N/A</v>
      </c>
      <c r="AC58" s="145" t="e">
        <f>IF($N58=0,0,IF(VLOOKUP($H58,'How the score is generated (H)'!$B$4:$H$72,4,0)="ü",2,0))</f>
        <v>#N/A</v>
      </c>
      <c r="AD58" s="35" t="e">
        <f>IF(VLOOKUP($H58,'How the score is generated (H)'!$B$4:$H$72,5,0)="ü",$Q58,0)</f>
        <v>#N/A</v>
      </c>
      <c r="AE58" s="36" t="e">
        <f>IF(VLOOKUP($H58,'How the score is generated (H)'!$B$4:$H$72,5,0)="ü",$S58,0)</f>
        <v>#N/A</v>
      </c>
      <c r="AF58" s="145" t="e">
        <f>IF($N58=0,0,IF(VLOOKUP($H58,'How the score is generated (H)'!$B$4:$H$72,5,0)="ü",2,0))</f>
        <v>#N/A</v>
      </c>
      <c r="AG58" s="35" t="e">
        <f>IF(VLOOKUP($H58,'How the score is generated (H)'!$B$4:$H$72,6,0)="ü",$Q58,0)</f>
        <v>#N/A</v>
      </c>
      <c r="AH58" s="36" t="e">
        <f>IF(VLOOKUP($H58,'How the score is generated (H)'!$B$4:$H$72,6,0)="ü",$S58,0)</f>
        <v>#N/A</v>
      </c>
      <c r="AI58" s="145" t="e">
        <f>IF($N58=0,0,IF(VLOOKUP($H58,'How the score is generated (H)'!$B$4:$H$72,6,0)="ü",2,0))</f>
        <v>#N/A</v>
      </c>
      <c r="AJ58" s="35" t="e">
        <f>IF(VLOOKUP($H58,'How the score is generated (H)'!$B$4:$H$72,7,0)="ü",$Q58,0)</f>
        <v>#N/A</v>
      </c>
      <c r="AK58" s="36" t="e">
        <f>IF(VLOOKUP($H58,'How the score is generated (H)'!$B$4:$H$72,7,0)="ü",$S58,0)</f>
        <v>#N/A</v>
      </c>
      <c r="AL58" s="145" t="e">
        <f>IF($N58=0,0,IF(VLOOKUP($H58,'How the score is generated (H)'!$B$4:$H$72,7,0)="ü",2,0))</f>
        <v>#N/A</v>
      </c>
      <c r="AM58" s="35" t="e">
        <f>IF(VLOOKUP($H58,'How the score is generated (H)'!$B$4:$H$72,8,0)="ü",$Q58,0)</f>
        <v>#N/A</v>
      </c>
      <c r="AN58" s="36" t="e">
        <f>IF(VLOOKUP($H58,'How the score is generated (H)'!$B$4:$H$72,8,0)="ü",$S58,0)</f>
        <v>#N/A</v>
      </c>
      <c r="AO58" s="145" t="e">
        <f>IF($N58=0,0,IF(VLOOKUP($H58,'How the score is generated (H)'!$B$4:$H$72,8,0)="ü",2,0))</f>
        <v>#N/A</v>
      </c>
      <c r="AP58" s="23"/>
      <c r="AQ58" s="35" t="e">
        <f>IF(VLOOKUP($H58,'How the score is generated (P)'!$B$4:$I$72,2,0)="ü",$Q58,0)</f>
        <v>#N/A</v>
      </c>
      <c r="AR58" s="36" t="e">
        <f>IF(VLOOKUP($H58,'How the score is generated (P)'!$B$4:$I$72,2,0)="ü",$S58,0)</f>
        <v>#N/A</v>
      </c>
      <c r="AS58" s="145" t="e">
        <f>IF($N58=0,0,IF(VLOOKUP($H58,'How the score is generated (P)'!$B$4:$I$72,2,0)="ü",2,0))</f>
        <v>#N/A</v>
      </c>
      <c r="AT58" s="35" t="e">
        <f>IF(VLOOKUP($H58,'How the score is generated (P)'!$B$4:$I$72,3,0)="ü",$Q58,0)</f>
        <v>#N/A</v>
      </c>
      <c r="AU58" s="36" t="e">
        <f>IF(VLOOKUP($H58,'How the score is generated (P)'!$B$4:$I$72,3,0)="ü",$S58,0)</f>
        <v>#N/A</v>
      </c>
      <c r="AV58" s="145" t="e">
        <f>IF($N58=0,0,IF(VLOOKUP($H58,'How the score is generated (P)'!$B$4:$I$72,3,0)="ü",2,0))</f>
        <v>#N/A</v>
      </c>
      <c r="AW58" s="35" t="e">
        <f>IF(VLOOKUP($H58,'How the score is generated (P)'!$B$4:$I$72,4,0)="ü",$Q58,0)</f>
        <v>#N/A</v>
      </c>
      <c r="AX58" s="36" t="e">
        <f>IF(VLOOKUP($H58,'How the score is generated (P)'!$B$4:$I$72,4,0)="ü",$S58,0)</f>
        <v>#N/A</v>
      </c>
      <c r="AY58" s="145" t="e">
        <f>IF($N58=0,0,IF(VLOOKUP($H58,'How the score is generated (P)'!$B$4:$I$72,4,0)="ü",2,0))</f>
        <v>#N/A</v>
      </c>
      <c r="AZ58" s="35" t="e">
        <f>IF(VLOOKUP($H58,'How the score is generated (P)'!$B$4:$I$72,5,0)="ü",$Q58,0)</f>
        <v>#N/A</v>
      </c>
      <c r="BA58" s="36" t="e">
        <f>IF(VLOOKUP($H58,'How the score is generated (P)'!$B$4:$I$72,5,0)="ü",$S58,0)</f>
        <v>#N/A</v>
      </c>
      <c r="BB58" s="145" t="e">
        <f>IF($N58=0,0,IF(VLOOKUP($H58,'How the score is generated (P)'!$B$4:$I$72,5,0)="ü",2,0))</f>
        <v>#N/A</v>
      </c>
      <c r="BC58" s="35" t="e">
        <f>IF(VLOOKUP($H58,'How the score is generated (P)'!$B$4:$I$72,6,0)="ü",$Q58,0)</f>
        <v>#N/A</v>
      </c>
      <c r="BD58" s="36" t="e">
        <f>IF(VLOOKUP($H58,'How the score is generated (P)'!$B$4:$I$72,6,0)="ü",$S58,0)</f>
        <v>#N/A</v>
      </c>
      <c r="BE58" s="145" t="e">
        <f>IF($N58=0,0,IF(VLOOKUP($H58,'How the score is generated (P)'!$B$4:$I$72,6,0)="ü",2,0))</f>
        <v>#N/A</v>
      </c>
      <c r="BF58" s="35" t="e">
        <f>IF(VLOOKUP($H58,'How the score is generated (P)'!$B$4:$I$72,7,0)="ü",$Q58,0)</f>
        <v>#N/A</v>
      </c>
      <c r="BG58" s="36" t="e">
        <f>IF(VLOOKUP($H58,'How the score is generated (P)'!$B$4:$I$72,7,0)="ü",$S58,0)</f>
        <v>#N/A</v>
      </c>
      <c r="BH58" s="145" t="e">
        <f>IF($N58=0,0,IF(VLOOKUP($H58,'How the score is generated (P)'!$B$4:$I$72,7,0)="ü",2,0))</f>
        <v>#N/A</v>
      </c>
      <c r="BI58" s="35" t="e">
        <f>IF(VLOOKUP($H58,'How the score is generated (P)'!$B$4:$I$72,8,0)="ü",$Q58,0)</f>
        <v>#N/A</v>
      </c>
      <c r="BJ58" s="36" t="e">
        <f>IF(VLOOKUP($H58,'How the score is generated (P)'!$B$4:$I$72,8,0)="ü",$S58,0)</f>
        <v>#N/A</v>
      </c>
      <c r="BK58" s="145" t="e">
        <f>IF($N58=0,0,IF(VLOOKUP($H58,'How the score is generated (P)'!$B$4:$I$72,8,0)="ü",2,0))</f>
        <v>#N/A</v>
      </c>
      <c r="BL58" s="23"/>
      <c r="BM58" s="201"/>
      <c r="BN58" s="23"/>
      <c r="BO58" s="146"/>
      <c r="BT58" s="34"/>
      <c r="BU58" s="34" t="str">
        <f t="shared" si="26"/>
        <v/>
      </c>
      <c r="BV58" s="34">
        <f t="shared" si="27"/>
        <v>0</v>
      </c>
      <c r="BW58" s="34">
        <f t="shared" si="28"/>
        <v>0</v>
      </c>
      <c r="BX58" s="34" t="str">
        <f t="shared" si="29"/>
        <v>39. Street activity, social interaction and public space for community use</v>
      </c>
    </row>
    <row r="59" spans="1:76" ht="39.5" thickBot="1" x14ac:dyDescent="0.4">
      <c r="A59" s="23"/>
      <c r="B59" s="225"/>
      <c r="C59" s="69" t="s">
        <v>162</v>
      </c>
      <c r="D59" s="164">
        <f t="shared" si="30"/>
        <v>40</v>
      </c>
      <c r="E59" s="38" t="s">
        <v>43</v>
      </c>
      <c r="F59" s="198" t="s">
        <v>43</v>
      </c>
      <c r="G59" s="39" t="s">
        <v>522</v>
      </c>
      <c r="H59" s="41" t="s">
        <v>197</v>
      </c>
      <c r="I59" s="272"/>
      <c r="J59" s="45"/>
      <c r="K59" s="41" t="s">
        <v>198</v>
      </c>
      <c r="L59" s="41" t="s">
        <v>199</v>
      </c>
      <c r="M59" s="42" t="s">
        <v>200</v>
      </c>
      <c r="N59" s="170">
        <f>IF(Project!$B$27="Off Highway",0,1)</f>
        <v>1</v>
      </c>
      <c r="O59" s="237">
        <f>IF(Scoring!O59="A",0,Scoring!O59)</f>
        <v>0</v>
      </c>
      <c r="P59" s="144">
        <f>IF(Scoring!P59="A",0,Scoring!P59)</f>
        <v>0</v>
      </c>
      <c r="Q59" s="129">
        <f t="shared" si="23"/>
        <v>0</v>
      </c>
      <c r="R59" s="34">
        <f t="shared" si="24"/>
        <v>2</v>
      </c>
      <c r="S59" s="34">
        <f>IF($N59=0,0,Scoring!P59)</f>
        <v>0</v>
      </c>
      <c r="T59" s="34">
        <f t="shared" si="25"/>
        <v>2</v>
      </c>
      <c r="U59" s="35" t="e">
        <f>IF(VLOOKUP($H59,'How the score is generated (H)'!$B$4:$H$72,2,0)="ü",$Q59,0)</f>
        <v>#N/A</v>
      </c>
      <c r="V59" s="36" t="e">
        <f>IF(VLOOKUP($H59,'How the score is generated (H)'!$B$4:$H$72,2,0)="ü",$S59,0)</f>
        <v>#N/A</v>
      </c>
      <c r="W59" s="145" t="e">
        <f>IF($N59=0,0,IF(VLOOKUP($H59,'How the score is generated (H)'!$B$4:$H$72,2,0)="ü",2,0))</f>
        <v>#N/A</v>
      </c>
      <c r="X59" s="35" t="e">
        <f>IF(VLOOKUP($H59,'How the score is generated (H)'!$B$4:$H$72,3,0)="ü",$Q59,0)</f>
        <v>#N/A</v>
      </c>
      <c r="Y59" s="36" t="e">
        <f>IF(VLOOKUP($H59,'How the score is generated (H)'!$B$4:$H$72,3,0)="ü",$S59,0)</f>
        <v>#N/A</v>
      </c>
      <c r="Z59" s="145" t="e">
        <f>IF($N59=0,0,IF(VLOOKUP($H59,'How the score is generated (H)'!$B$4:$H$72,3,0)="ü",2,0))</f>
        <v>#N/A</v>
      </c>
      <c r="AA59" s="35" t="e">
        <f>IF(VLOOKUP($H59,'How the score is generated (H)'!$B$4:$H$72,4,0)="ü",$Q59,0)</f>
        <v>#N/A</v>
      </c>
      <c r="AB59" s="36" t="e">
        <f>IF(VLOOKUP($H59,'How the score is generated (H)'!$B$4:$H$72,4,0)="ü",$S59,0)</f>
        <v>#N/A</v>
      </c>
      <c r="AC59" s="145" t="e">
        <f>IF($N59=0,0,IF(VLOOKUP($H59,'How the score is generated (H)'!$B$4:$H$72,4,0)="ü",2,0))</f>
        <v>#N/A</v>
      </c>
      <c r="AD59" s="35" t="e">
        <f>IF(VLOOKUP($H59,'How the score is generated (H)'!$B$4:$H$72,5,0)="ü",$Q59,0)</f>
        <v>#N/A</v>
      </c>
      <c r="AE59" s="36" t="e">
        <f>IF(VLOOKUP($H59,'How the score is generated (H)'!$B$4:$H$72,5,0)="ü",$S59,0)</f>
        <v>#N/A</v>
      </c>
      <c r="AF59" s="145" t="e">
        <f>IF($N59=0,0,IF(VLOOKUP($H59,'How the score is generated (H)'!$B$4:$H$72,5,0)="ü",2,0))</f>
        <v>#N/A</v>
      </c>
      <c r="AG59" s="35" t="e">
        <f>IF(VLOOKUP($H59,'How the score is generated (H)'!$B$4:$H$72,6,0)="ü",$Q59,0)</f>
        <v>#N/A</v>
      </c>
      <c r="AH59" s="36" t="e">
        <f>IF(VLOOKUP($H59,'How the score is generated (H)'!$B$4:$H$72,6,0)="ü",$S59,0)</f>
        <v>#N/A</v>
      </c>
      <c r="AI59" s="145" t="e">
        <f>IF($N59=0,0,IF(VLOOKUP($H59,'How the score is generated (H)'!$B$4:$H$72,6,0)="ü",2,0))</f>
        <v>#N/A</v>
      </c>
      <c r="AJ59" s="35" t="e">
        <f>IF(VLOOKUP($H59,'How the score is generated (H)'!$B$4:$H$72,7,0)="ü",$Q59,0)</f>
        <v>#N/A</v>
      </c>
      <c r="AK59" s="36" t="e">
        <f>IF(VLOOKUP($H59,'How the score is generated (H)'!$B$4:$H$72,7,0)="ü",$S59,0)</f>
        <v>#N/A</v>
      </c>
      <c r="AL59" s="145" t="e">
        <f>IF($N59=0,0,IF(VLOOKUP($H59,'How the score is generated (H)'!$B$4:$H$72,7,0)="ü",2,0))</f>
        <v>#N/A</v>
      </c>
      <c r="AM59" s="35" t="e">
        <f>IF(VLOOKUP($H59,'How the score is generated (H)'!$B$4:$H$72,8,0)="ü",$Q59,0)</f>
        <v>#N/A</v>
      </c>
      <c r="AN59" s="36" t="e">
        <f>IF(VLOOKUP($H59,'How the score is generated (H)'!$B$4:$H$72,8,0)="ü",$S59,0)</f>
        <v>#N/A</v>
      </c>
      <c r="AO59" s="145" t="e">
        <f>IF($N59=0,0,IF(VLOOKUP($H59,'How the score is generated (H)'!$B$4:$H$72,8,0)="ü",2,0))</f>
        <v>#N/A</v>
      </c>
      <c r="AP59" s="23"/>
      <c r="AQ59" s="35" t="e">
        <f>IF(VLOOKUP($H59,'How the score is generated (P)'!$B$4:$I$72,2,0)="ü",$Q59,0)</f>
        <v>#N/A</v>
      </c>
      <c r="AR59" s="36" t="e">
        <f>IF(VLOOKUP($H59,'How the score is generated (P)'!$B$4:$I$72,2,0)="ü",$S59,0)</f>
        <v>#N/A</v>
      </c>
      <c r="AS59" s="145" t="e">
        <f>IF($N59=0,0,IF(VLOOKUP($H59,'How the score is generated (P)'!$B$4:$I$72,2,0)="ü",2,0))</f>
        <v>#N/A</v>
      </c>
      <c r="AT59" s="35" t="e">
        <f>IF(VLOOKUP($H59,'How the score is generated (P)'!$B$4:$I$72,3,0)="ü",$Q59,0)</f>
        <v>#N/A</v>
      </c>
      <c r="AU59" s="36" t="e">
        <f>IF(VLOOKUP($H59,'How the score is generated (P)'!$B$4:$I$72,3,0)="ü",$S59,0)</f>
        <v>#N/A</v>
      </c>
      <c r="AV59" s="145" t="e">
        <f>IF($N59=0,0,IF(VLOOKUP($H59,'How the score is generated (P)'!$B$4:$I$72,3,0)="ü",2,0))</f>
        <v>#N/A</v>
      </c>
      <c r="AW59" s="35" t="e">
        <f>IF(VLOOKUP($H59,'How the score is generated (P)'!$B$4:$I$72,4,0)="ü",$Q59,0)</f>
        <v>#N/A</v>
      </c>
      <c r="AX59" s="36" t="e">
        <f>IF(VLOOKUP($H59,'How the score is generated (P)'!$B$4:$I$72,4,0)="ü",$S59,0)</f>
        <v>#N/A</v>
      </c>
      <c r="AY59" s="145" t="e">
        <f>IF($N59=0,0,IF(VLOOKUP($H59,'How the score is generated (P)'!$B$4:$I$72,4,0)="ü",2,0))</f>
        <v>#N/A</v>
      </c>
      <c r="AZ59" s="35" t="e">
        <f>IF(VLOOKUP($H59,'How the score is generated (P)'!$B$4:$I$72,5,0)="ü",$Q59,0)</f>
        <v>#N/A</v>
      </c>
      <c r="BA59" s="36" t="e">
        <f>IF(VLOOKUP($H59,'How the score is generated (P)'!$B$4:$I$72,5,0)="ü",$S59,0)</f>
        <v>#N/A</v>
      </c>
      <c r="BB59" s="145" t="e">
        <f>IF($N59=0,0,IF(VLOOKUP($H59,'How the score is generated (P)'!$B$4:$I$72,5,0)="ü",2,0))</f>
        <v>#N/A</v>
      </c>
      <c r="BC59" s="35" t="e">
        <f>IF(VLOOKUP($H59,'How the score is generated (P)'!$B$4:$I$72,6,0)="ü",$Q59,0)</f>
        <v>#N/A</v>
      </c>
      <c r="BD59" s="36" t="e">
        <f>IF(VLOOKUP($H59,'How the score is generated (P)'!$B$4:$I$72,6,0)="ü",$S59,0)</f>
        <v>#N/A</v>
      </c>
      <c r="BE59" s="145" t="e">
        <f>IF($N59=0,0,IF(VLOOKUP($H59,'How the score is generated (P)'!$B$4:$I$72,6,0)="ü",2,0))</f>
        <v>#N/A</v>
      </c>
      <c r="BF59" s="35" t="e">
        <f>IF(VLOOKUP($H59,'How the score is generated (P)'!$B$4:$I$72,7,0)="ü",$Q59,0)</f>
        <v>#N/A</v>
      </c>
      <c r="BG59" s="36" t="e">
        <f>IF(VLOOKUP($H59,'How the score is generated (P)'!$B$4:$I$72,7,0)="ü",$S59,0)</f>
        <v>#N/A</v>
      </c>
      <c r="BH59" s="145" t="e">
        <f>IF($N59=0,0,IF(VLOOKUP($H59,'How the score is generated (P)'!$B$4:$I$72,7,0)="ü",2,0))</f>
        <v>#N/A</v>
      </c>
      <c r="BI59" s="35" t="e">
        <f>IF(VLOOKUP($H59,'How the score is generated (P)'!$B$4:$I$72,8,0)="ü",$Q59,0)</f>
        <v>#N/A</v>
      </c>
      <c r="BJ59" s="36" t="e">
        <f>IF(VLOOKUP($H59,'How the score is generated (P)'!$B$4:$I$72,8,0)="ü",$S59,0)</f>
        <v>#N/A</v>
      </c>
      <c r="BK59" s="145" t="e">
        <f>IF($N59=0,0,IF(VLOOKUP($H59,'How the score is generated (P)'!$B$4:$I$72,8,0)="ü",2,0))</f>
        <v>#N/A</v>
      </c>
      <c r="BL59" s="23"/>
      <c r="BM59" s="201"/>
      <c r="BN59" s="23"/>
      <c r="BO59" s="146"/>
      <c r="BT59" s="34"/>
      <c r="BU59" s="34" t="str">
        <f t="shared" si="26"/>
        <v/>
      </c>
      <c r="BV59" s="34">
        <f t="shared" si="27"/>
        <v>0</v>
      </c>
      <c r="BW59" s="34">
        <f t="shared" si="28"/>
        <v>0</v>
      </c>
      <c r="BX59" s="34" t="str">
        <f t="shared" si="29"/>
        <v xml:space="preserve">40. Street engagement for children e.g. play streets, interactive art, murals, urban greenery </v>
      </c>
    </row>
    <row r="60" spans="1:76" ht="99" customHeight="1" thickBot="1" x14ac:dyDescent="0.4">
      <c r="A60" s="23"/>
      <c r="B60" s="225"/>
      <c r="C60" s="43" t="s">
        <v>162</v>
      </c>
      <c r="D60" s="164">
        <f t="shared" si="30"/>
        <v>41</v>
      </c>
      <c r="E60" s="44" t="s">
        <v>39</v>
      </c>
      <c r="F60" s="168" t="s">
        <v>20</v>
      </c>
      <c r="G60" s="39" t="s">
        <v>523</v>
      </c>
      <c r="H60" s="41" t="s">
        <v>201</v>
      </c>
      <c r="I60" s="272"/>
      <c r="J60" s="45"/>
      <c r="K60" s="41" t="s">
        <v>554</v>
      </c>
      <c r="L60" s="41" t="s">
        <v>555</v>
      </c>
      <c r="M60" s="42" t="s">
        <v>202</v>
      </c>
      <c r="N60" s="170">
        <f>IF(Project!$B$27="Off Highway",0,1)</f>
        <v>1</v>
      </c>
      <c r="O60" s="237">
        <f>IF(Scoring!O60="A",0,Scoring!O60)</f>
        <v>0</v>
      </c>
      <c r="P60" s="144">
        <f>IF(Scoring!P60="A",0,Scoring!P60)</f>
        <v>0</v>
      </c>
      <c r="Q60" s="129">
        <f t="shared" si="23"/>
        <v>0</v>
      </c>
      <c r="R60" s="34">
        <f t="shared" si="24"/>
        <v>2</v>
      </c>
      <c r="S60" s="34">
        <f>IF($N60=0,0,Scoring!P60)</f>
        <v>0</v>
      </c>
      <c r="T60" s="34">
        <f t="shared" si="25"/>
        <v>2</v>
      </c>
      <c r="U60" s="35" t="e">
        <f>IF(VLOOKUP($H60,'How the score is generated (H)'!$B$4:$H$72,2,0)="ü",$Q60,0)</f>
        <v>#N/A</v>
      </c>
      <c r="V60" s="36" t="e">
        <f>IF(VLOOKUP($H60,'How the score is generated (H)'!$B$4:$H$72,2,0)="ü",$S60,0)</f>
        <v>#N/A</v>
      </c>
      <c r="W60" s="145" t="e">
        <f>IF($N60=0,0,IF(VLOOKUP($H60,'How the score is generated (H)'!$B$4:$H$72,2,0)="ü",2,0))</f>
        <v>#N/A</v>
      </c>
      <c r="X60" s="35" t="e">
        <f>IF(VLOOKUP($H60,'How the score is generated (H)'!$B$4:$H$72,3,0)="ü",$Q60,0)</f>
        <v>#N/A</v>
      </c>
      <c r="Y60" s="36" t="e">
        <f>IF(VLOOKUP($H60,'How the score is generated (H)'!$B$4:$H$72,3,0)="ü",$S60,0)</f>
        <v>#N/A</v>
      </c>
      <c r="Z60" s="145" t="e">
        <f>IF($N60=0,0,IF(VLOOKUP($H60,'How the score is generated (H)'!$B$4:$H$72,3,0)="ü",2,0))</f>
        <v>#N/A</v>
      </c>
      <c r="AA60" s="35" t="e">
        <f>IF(VLOOKUP($H60,'How the score is generated (H)'!$B$4:$H$72,4,0)="ü",$Q60,0)</f>
        <v>#N/A</v>
      </c>
      <c r="AB60" s="36" t="e">
        <f>IF(VLOOKUP($H60,'How the score is generated (H)'!$B$4:$H$72,4,0)="ü",$S60,0)</f>
        <v>#N/A</v>
      </c>
      <c r="AC60" s="145" t="e">
        <f>IF($N60=0,0,IF(VLOOKUP($H60,'How the score is generated (H)'!$B$4:$H$72,4,0)="ü",2,0))</f>
        <v>#N/A</v>
      </c>
      <c r="AD60" s="35" t="e">
        <f>IF(VLOOKUP($H60,'How the score is generated (H)'!$B$4:$H$72,5,0)="ü",$Q60,0)</f>
        <v>#N/A</v>
      </c>
      <c r="AE60" s="36" t="e">
        <f>IF(VLOOKUP($H60,'How the score is generated (H)'!$B$4:$H$72,5,0)="ü",$S60,0)</f>
        <v>#N/A</v>
      </c>
      <c r="AF60" s="145" t="e">
        <f>IF($N60=0,0,IF(VLOOKUP($H60,'How the score is generated (H)'!$B$4:$H$72,5,0)="ü",2,0))</f>
        <v>#N/A</v>
      </c>
      <c r="AG60" s="35" t="e">
        <f>IF(VLOOKUP($H60,'How the score is generated (H)'!$B$4:$H$72,6,0)="ü",$Q60,0)</f>
        <v>#N/A</v>
      </c>
      <c r="AH60" s="36" t="e">
        <f>IF(VLOOKUP($H60,'How the score is generated (H)'!$B$4:$H$72,6,0)="ü",$S60,0)</f>
        <v>#N/A</v>
      </c>
      <c r="AI60" s="145" t="e">
        <f>IF($N60=0,0,IF(VLOOKUP($H60,'How the score is generated (H)'!$B$4:$H$72,6,0)="ü",2,0))</f>
        <v>#N/A</v>
      </c>
      <c r="AJ60" s="35" t="e">
        <f>IF(VLOOKUP($H60,'How the score is generated (H)'!$B$4:$H$72,7,0)="ü",$Q60,0)</f>
        <v>#N/A</v>
      </c>
      <c r="AK60" s="36" t="e">
        <f>IF(VLOOKUP($H60,'How the score is generated (H)'!$B$4:$H$72,7,0)="ü",$S60,0)</f>
        <v>#N/A</v>
      </c>
      <c r="AL60" s="145" t="e">
        <f>IF($N60=0,0,IF(VLOOKUP($H60,'How the score is generated (H)'!$B$4:$H$72,7,0)="ü",2,0))</f>
        <v>#N/A</v>
      </c>
      <c r="AM60" s="35" t="e">
        <f>IF(VLOOKUP($H60,'How the score is generated (H)'!$B$4:$H$72,8,0)="ü",$Q60,0)</f>
        <v>#N/A</v>
      </c>
      <c r="AN60" s="36" t="e">
        <f>IF(VLOOKUP($H60,'How the score is generated (H)'!$B$4:$H$72,8,0)="ü",$S60,0)</f>
        <v>#N/A</v>
      </c>
      <c r="AO60" s="145" t="e">
        <f>IF($N60=0,0,IF(VLOOKUP($H60,'How the score is generated (H)'!$B$4:$H$72,8,0)="ü",2,0))</f>
        <v>#N/A</v>
      </c>
      <c r="AP60" s="23"/>
      <c r="AQ60" s="35" t="e">
        <f>IF(VLOOKUP($H60,'How the score is generated (P)'!$B$4:$I$72,2,0)="ü",$Q60,0)</f>
        <v>#N/A</v>
      </c>
      <c r="AR60" s="36" t="e">
        <f>IF(VLOOKUP($H60,'How the score is generated (P)'!$B$4:$I$72,2,0)="ü",$S60,0)</f>
        <v>#N/A</v>
      </c>
      <c r="AS60" s="145" t="e">
        <f>IF($N60=0,0,IF(VLOOKUP($H60,'How the score is generated (P)'!$B$4:$I$72,2,0)="ü",2,0))</f>
        <v>#N/A</v>
      </c>
      <c r="AT60" s="35" t="e">
        <f>IF(VLOOKUP($H60,'How the score is generated (P)'!$B$4:$I$72,3,0)="ü",$Q60,0)</f>
        <v>#N/A</v>
      </c>
      <c r="AU60" s="36" t="e">
        <f>IF(VLOOKUP($H60,'How the score is generated (P)'!$B$4:$I$72,3,0)="ü",$S60,0)</f>
        <v>#N/A</v>
      </c>
      <c r="AV60" s="145" t="e">
        <f>IF($N60=0,0,IF(VLOOKUP($H60,'How the score is generated (P)'!$B$4:$I$72,3,0)="ü",2,0))</f>
        <v>#N/A</v>
      </c>
      <c r="AW60" s="35" t="e">
        <f>IF(VLOOKUP($H60,'How the score is generated (P)'!$B$4:$I$72,4,0)="ü",$Q60,0)</f>
        <v>#N/A</v>
      </c>
      <c r="AX60" s="36" t="e">
        <f>IF(VLOOKUP($H60,'How the score is generated (P)'!$B$4:$I$72,4,0)="ü",$S60,0)</f>
        <v>#N/A</v>
      </c>
      <c r="AY60" s="145" t="e">
        <f>IF($N60=0,0,IF(VLOOKUP($H60,'How the score is generated (P)'!$B$4:$I$72,4,0)="ü",2,0))</f>
        <v>#N/A</v>
      </c>
      <c r="AZ60" s="35" t="e">
        <f>IF(VLOOKUP($H60,'How the score is generated (P)'!$B$4:$I$72,5,0)="ü",$Q60,0)</f>
        <v>#N/A</v>
      </c>
      <c r="BA60" s="36" t="e">
        <f>IF(VLOOKUP($H60,'How the score is generated (P)'!$B$4:$I$72,5,0)="ü",$S60,0)</f>
        <v>#N/A</v>
      </c>
      <c r="BB60" s="145" t="e">
        <f>IF($N60=0,0,IF(VLOOKUP($H60,'How the score is generated (P)'!$B$4:$I$72,5,0)="ü",2,0))</f>
        <v>#N/A</v>
      </c>
      <c r="BC60" s="35" t="e">
        <f>IF(VLOOKUP($H60,'How the score is generated (P)'!$B$4:$I$72,6,0)="ü",$Q60,0)</f>
        <v>#N/A</v>
      </c>
      <c r="BD60" s="36" t="e">
        <f>IF(VLOOKUP($H60,'How the score is generated (P)'!$B$4:$I$72,6,0)="ü",$S60,0)</f>
        <v>#N/A</v>
      </c>
      <c r="BE60" s="145" t="e">
        <f>IF($N60=0,0,IF(VLOOKUP($H60,'How the score is generated (P)'!$B$4:$I$72,6,0)="ü",2,0))</f>
        <v>#N/A</v>
      </c>
      <c r="BF60" s="35" t="e">
        <f>IF(VLOOKUP($H60,'How the score is generated (P)'!$B$4:$I$72,7,0)="ü",$Q60,0)</f>
        <v>#N/A</v>
      </c>
      <c r="BG60" s="36" t="e">
        <f>IF(VLOOKUP($H60,'How the score is generated (P)'!$B$4:$I$72,7,0)="ü",$S60,0)</f>
        <v>#N/A</v>
      </c>
      <c r="BH60" s="145" t="e">
        <f>IF($N60=0,0,IF(VLOOKUP($H60,'How the score is generated (P)'!$B$4:$I$72,7,0)="ü",2,0))</f>
        <v>#N/A</v>
      </c>
      <c r="BI60" s="35" t="e">
        <f>IF(VLOOKUP($H60,'How the score is generated (P)'!$B$4:$I$72,8,0)="ü",$Q60,0)</f>
        <v>#N/A</v>
      </c>
      <c r="BJ60" s="36" t="e">
        <f>IF(VLOOKUP($H60,'How the score is generated (P)'!$B$4:$I$72,8,0)="ü",$S60,0)</f>
        <v>#N/A</v>
      </c>
      <c r="BK60" s="145" t="e">
        <f>IF($N60=0,0,IF(VLOOKUP($H60,'How the score is generated (P)'!$B$4:$I$72,8,0)="ü",2,0))</f>
        <v>#N/A</v>
      </c>
      <c r="BL60" s="23"/>
      <c r="BM60" s="201"/>
      <c r="BN60" s="23"/>
      <c r="BO60" s="276" t="s">
        <v>556</v>
      </c>
      <c r="BT60" s="34"/>
      <c r="BU60" s="34" t="str">
        <f t="shared" si="26"/>
        <v/>
      </c>
      <c r="BV60" s="34">
        <f t="shared" si="27"/>
        <v>0</v>
      </c>
      <c r="BW60" s="34">
        <f t="shared" si="28"/>
        <v>0</v>
      </c>
      <c r="BX60" s="34" t="str">
        <f t="shared" si="29"/>
        <v>41. Impact of parking and servicing on the street</v>
      </c>
    </row>
    <row r="61" spans="1:76" ht="114.65" customHeight="1" thickBot="1" x14ac:dyDescent="0.4">
      <c r="A61" s="23"/>
      <c r="B61" s="76"/>
      <c r="C61" s="218" t="s">
        <v>162</v>
      </c>
      <c r="D61" s="165">
        <f t="shared" si="30"/>
        <v>42</v>
      </c>
      <c r="E61" s="166" t="s">
        <v>43</v>
      </c>
      <c r="F61" s="199" t="s">
        <v>43</v>
      </c>
      <c r="G61" s="177" t="s">
        <v>203</v>
      </c>
      <c r="H61" s="178" t="s">
        <v>204</v>
      </c>
      <c r="I61" s="273"/>
      <c r="J61" s="179"/>
      <c r="K61" s="178" t="s">
        <v>205</v>
      </c>
      <c r="L61" s="178" t="s">
        <v>206</v>
      </c>
      <c r="M61" s="180" t="s">
        <v>207</v>
      </c>
      <c r="N61" s="170">
        <f>IF(Project!$B$27="Off Highway",0,1)</f>
        <v>1</v>
      </c>
      <c r="O61" s="237">
        <f>IF(Scoring!O61="A",0,Scoring!O61)</f>
        <v>0</v>
      </c>
      <c r="P61" s="144">
        <f>IF(Scoring!P61="A",0,Scoring!P61)</f>
        <v>0</v>
      </c>
      <c r="Q61" s="129">
        <f t="shared" si="23"/>
        <v>0</v>
      </c>
      <c r="R61" s="34">
        <f t="shared" si="24"/>
        <v>2</v>
      </c>
      <c r="S61" s="34">
        <f>IF($N61=0,0,Scoring!P61)</f>
        <v>0</v>
      </c>
      <c r="T61" s="34">
        <f t="shared" si="25"/>
        <v>2</v>
      </c>
      <c r="U61" s="35">
        <f>IF(VLOOKUP($H61,'How the score is generated (H)'!$B$4:$H$72,2,0)="ü",$Q61,0)</f>
        <v>0</v>
      </c>
      <c r="V61" s="36">
        <f>IF(VLOOKUP($H61,'How the score is generated (H)'!$B$4:$H$72,2,0)="ü",$S61,0)</f>
        <v>0</v>
      </c>
      <c r="W61" s="145">
        <f>IF($N61=0,0,IF(VLOOKUP($H61,'How the score is generated (H)'!$B$4:$H$72,2,0)="ü",2,0))</f>
        <v>0</v>
      </c>
      <c r="X61" s="35">
        <f>IF(VLOOKUP($H61,'How the score is generated (H)'!$B$4:$H$72,3,0)="ü",$Q61,0)</f>
        <v>0</v>
      </c>
      <c r="Y61" s="36">
        <f>IF(VLOOKUP($H61,'How the score is generated (H)'!$B$4:$H$72,3,0)="ü",$S61,0)</f>
        <v>0</v>
      </c>
      <c r="Z61" s="145">
        <f>IF($N61=0,0,IF(VLOOKUP($H61,'How the score is generated (H)'!$B$4:$H$72,3,0)="ü",2,0))</f>
        <v>2</v>
      </c>
      <c r="AA61" s="35">
        <f>IF(VLOOKUP($H61,'How the score is generated (H)'!$B$4:$H$72,4,0)="ü",$Q61,0)</f>
        <v>0</v>
      </c>
      <c r="AB61" s="36">
        <f>IF(VLOOKUP($H61,'How the score is generated (H)'!$B$4:$H$72,4,0)="ü",$S61,0)</f>
        <v>0</v>
      </c>
      <c r="AC61" s="145">
        <f>IF($N61=0,0,IF(VLOOKUP($H61,'How the score is generated (H)'!$B$4:$H$72,4,0)="ü",2,0))</f>
        <v>2</v>
      </c>
      <c r="AD61" s="35">
        <f>IF(VLOOKUP($H61,'How the score is generated (H)'!$B$4:$H$72,5,0)="ü",$Q61,0)</f>
        <v>0</v>
      </c>
      <c r="AE61" s="36">
        <f>IF(VLOOKUP($H61,'How the score is generated (H)'!$B$4:$H$72,5,0)="ü",$S61,0)</f>
        <v>0</v>
      </c>
      <c r="AF61" s="145">
        <f>IF($N61=0,0,IF(VLOOKUP($H61,'How the score is generated (H)'!$B$4:$H$72,5,0)="ü",2,0))</f>
        <v>2</v>
      </c>
      <c r="AG61" s="35">
        <f>IF(VLOOKUP($H61,'How the score is generated (H)'!$B$4:$H$72,6,0)="ü",$Q61,0)</f>
        <v>0</v>
      </c>
      <c r="AH61" s="36">
        <f>IF(VLOOKUP($H61,'How the score is generated (H)'!$B$4:$H$72,6,0)="ü",$S61,0)</f>
        <v>0</v>
      </c>
      <c r="AI61" s="145">
        <f>IF($N61=0,0,IF(VLOOKUP($H61,'How the score is generated (H)'!$B$4:$H$72,6,0)="ü",2,0))</f>
        <v>2</v>
      </c>
      <c r="AJ61" s="35">
        <f>IF(VLOOKUP($H61,'How the score is generated (H)'!$B$4:$H$72,7,0)="ü",$Q61,0)</f>
        <v>0</v>
      </c>
      <c r="AK61" s="36">
        <f>IF(VLOOKUP($H61,'How the score is generated (H)'!$B$4:$H$72,7,0)="ü",$S61,0)</f>
        <v>0</v>
      </c>
      <c r="AL61" s="145">
        <f>IF($N61=0,0,IF(VLOOKUP($H61,'How the score is generated (H)'!$B$4:$H$72,7,0)="ü",2,0))</f>
        <v>2</v>
      </c>
      <c r="AM61" s="35" t="e">
        <f>IF(VLOOKUP($H61,'How the score is generated (H)'!$B$4:$H$72,8,0)="ü",$Q61,0)</f>
        <v>#REF!</v>
      </c>
      <c r="AN61" s="36" t="e">
        <f>IF(VLOOKUP($H61,'How the score is generated (H)'!$B$4:$H$72,8,0)="ü",$S61,0)</f>
        <v>#REF!</v>
      </c>
      <c r="AO61" s="145" t="e">
        <f>IF($N61=0,0,IF(VLOOKUP($H61,'How the score is generated (H)'!$B$4:$H$72,8,0)="ü",2,0))</f>
        <v>#REF!</v>
      </c>
      <c r="AP61" s="23"/>
      <c r="AQ61" s="35">
        <f>IF(VLOOKUP($H61,'How the score is generated (P)'!$B$4:$I$72,2,0)="ü",$Q61,0)</f>
        <v>0</v>
      </c>
      <c r="AR61" s="36">
        <f>IF(VLOOKUP($H61,'How the score is generated (P)'!$B$4:$I$72,2,0)="ü",$S61,0)</f>
        <v>0</v>
      </c>
      <c r="AS61" s="145">
        <f>IF($N61=0,0,IF(VLOOKUP($H61,'How the score is generated (P)'!$B$4:$I$72,2,0)="ü",2,0))</f>
        <v>2</v>
      </c>
      <c r="AT61" s="35">
        <f>IF(VLOOKUP($H61,'How the score is generated (P)'!$B$4:$I$72,3,0)="ü",$Q61,0)</f>
        <v>0</v>
      </c>
      <c r="AU61" s="36">
        <f>IF(VLOOKUP($H61,'How the score is generated (P)'!$B$4:$I$72,3,0)="ü",$S61,0)</f>
        <v>0</v>
      </c>
      <c r="AV61" s="145">
        <f>IF($N61=0,0,IF(VLOOKUP($H61,'How the score is generated (P)'!$B$4:$I$72,3,0)="ü",2,0))</f>
        <v>2</v>
      </c>
      <c r="AW61" s="35">
        <f>IF(VLOOKUP($H61,'How the score is generated (P)'!$B$4:$I$72,4,0)="ü",$Q61,0)</f>
        <v>0</v>
      </c>
      <c r="AX61" s="36">
        <f>IF(VLOOKUP($H61,'How the score is generated (P)'!$B$4:$I$72,4,0)="ü",$S61,0)</f>
        <v>0</v>
      </c>
      <c r="AY61" s="145">
        <f>IF($N61=0,0,IF(VLOOKUP($H61,'How the score is generated (P)'!$B$4:$I$72,4,0)="ü",2,0))</f>
        <v>2</v>
      </c>
      <c r="AZ61" s="35">
        <f>IF(VLOOKUP($H61,'How the score is generated (P)'!$B$4:$I$72,5,0)="ü",$Q61,0)</f>
        <v>0</v>
      </c>
      <c r="BA61" s="36">
        <f>IF(VLOOKUP($H61,'How the score is generated (P)'!$B$4:$I$72,5,0)="ü",$S61,0)</f>
        <v>0</v>
      </c>
      <c r="BB61" s="145">
        <f>IF($N61=0,0,IF(VLOOKUP($H61,'How the score is generated (P)'!$B$4:$I$72,5,0)="ü",2,0))</f>
        <v>2</v>
      </c>
      <c r="BC61" s="35">
        <f>IF(VLOOKUP($H61,'How the score is generated (P)'!$B$4:$I$72,6,0)="ü",$Q61,0)</f>
        <v>0</v>
      </c>
      <c r="BD61" s="36">
        <f>IF(VLOOKUP($H61,'How the score is generated (P)'!$B$4:$I$72,6,0)="ü",$S61,0)</f>
        <v>0</v>
      </c>
      <c r="BE61" s="145">
        <f>IF($N61=0,0,IF(VLOOKUP($H61,'How the score is generated (P)'!$B$4:$I$72,6,0)="ü",2,0))</f>
        <v>2</v>
      </c>
      <c r="BF61" s="35">
        <f>IF(VLOOKUP($H61,'How the score is generated (P)'!$B$4:$I$72,7,0)="ü",$Q61,0)</f>
        <v>0</v>
      </c>
      <c r="BG61" s="36">
        <f>IF(VLOOKUP($H61,'How the score is generated (P)'!$B$4:$I$72,7,0)="ü",$S61,0)</f>
        <v>0</v>
      </c>
      <c r="BH61" s="145">
        <f>IF($N61=0,0,IF(VLOOKUP($H61,'How the score is generated (P)'!$B$4:$I$72,7,0)="ü",2,0))</f>
        <v>2</v>
      </c>
      <c r="BI61" s="35">
        <f>IF(VLOOKUP($H61,'How the score is generated (P)'!$B$4:$I$72,8,0)="ü",$Q61,0)</f>
        <v>0</v>
      </c>
      <c r="BJ61" s="36">
        <f>IF(VLOOKUP($H61,'How the score is generated (P)'!$B$4:$I$72,8,0)="ü",$S61,0)</f>
        <v>0</v>
      </c>
      <c r="BK61" s="145">
        <f>IF($N61=0,0,IF(VLOOKUP($H61,'How the score is generated (P)'!$B$4:$I$72,8,0)="ü",2,0))</f>
        <v>2</v>
      </c>
      <c r="BL61" s="23"/>
      <c r="BM61" s="201"/>
      <c r="BN61" s="23"/>
      <c r="BO61" s="146"/>
      <c r="BT61" s="34"/>
      <c r="BU61" s="34" t="str">
        <f t="shared" si="26"/>
        <v/>
      </c>
      <c r="BV61" s="34">
        <f t="shared" si="27"/>
        <v>0</v>
      </c>
      <c r="BW61" s="34">
        <f t="shared" si="28"/>
        <v>0</v>
      </c>
      <c r="BX61" s="34" t="str">
        <f t="shared" si="29"/>
        <v>42. Exposure to PM10 &amp; NOX  concentration</v>
      </c>
    </row>
    <row r="62" spans="1:76" ht="39.5" thickBot="1" x14ac:dyDescent="0.4">
      <c r="A62" s="23"/>
      <c r="B62" s="76"/>
      <c r="C62" s="315"/>
      <c r="D62" s="315"/>
      <c r="E62" s="315"/>
      <c r="F62" s="315"/>
      <c r="G62" s="316" t="s">
        <v>659</v>
      </c>
      <c r="H62" s="317" t="s">
        <v>660</v>
      </c>
      <c r="I62" s="318"/>
      <c r="J62" s="166" t="s">
        <v>661</v>
      </c>
      <c r="K62" s="178" t="s">
        <v>662</v>
      </c>
      <c r="L62" s="178" t="s">
        <v>663</v>
      </c>
      <c r="M62" s="180" t="s">
        <v>664</v>
      </c>
      <c r="N62" s="170">
        <f>IF(Project!$B$27="Off Highway",0,1)</f>
        <v>1</v>
      </c>
      <c r="O62" s="237" t="e">
        <f>IF(Scoring!#REF!="A",0,Scoring!#REF!)</f>
        <v>#REF!</v>
      </c>
      <c r="P62" s="144" t="e">
        <f>IF(Scoring!#REF!="A",0,Scoring!#REF!)</f>
        <v>#REF!</v>
      </c>
      <c r="Q62" s="129" t="e">
        <f t="shared" si="23"/>
        <v>#REF!</v>
      </c>
      <c r="R62" s="34">
        <f t="shared" si="24"/>
        <v>2</v>
      </c>
      <c r="S62" s="34" t="e">
        <f>IF($N62=0,0,Scoring!#REF!)</f>
        <v>#REF!</v>
      </c>
      <c r="T62" s="34">
        <f t="shared" si="25"/>
        <v>2</v>
      </c>
      <c r="U62" s="35" t="e">
        <f>IF(VLOOKUP($H62,'How the score is generated (H)'!$B$4:$H$72,2,0)="ü",$Q62,0)</f>
        <v>#N/A</v>
      </c>
      <c r="V62" s="36" t="e">
        <f>IF(VLOOKUP($H62,'How the score is generated (H)'!$B$4:$H$72,2,0)="ü",$S62,0)</f>
        <v>#N/A</v>
      </c>
      <c r="W62" s="145" t="e">
        <f>IF($N62=0,0,IF(VLOOKUP($H62,'How the score is generated (H)'!$B$4:$H$72,2,0)="ü",2,0))</f>
        <v>#N/A</v>
      </c>
      <c r="X62" s="35" t="e">
        <f>IF(VLOOKUP($H62,'How the score is generated (H)'!$B$4:$H$72,3,0)="ü",$Q62,0)</f>
        <v>#N/A</v>
      </c>
      <c r="Y62" s="36" t="e">
        <f>IF(VLOOKUP($H62,'How the score is generated (H)'!$B$4:$H$72,3,0)="ü",$S62,0)</f>
        <v>#N/A</v>
      </c>
      <c r="Z62" s="145" t="e">
        <f>IF($N62=0,0,IF(VLOOKUP($H62,'How the score is generated (H)'!$B$4:$H$72,3,0)="ü",2,0))</f>
        <v>#N/A</v>
      </c>
      <c r="AA62" s="35" t="e">
        <f>IF(VLOOKUP($H62,'How the score is generated (H)'!$B$4:$H$72,4,0)="ü",$Q62,0)</f>
        <v>#N/A</v>
      </c>
      <c r="AB62" s="36" t="e">
        <f>IF(VLOOKUP($H62,'How the score is generated (H)'!$B$4:$H$72,4,0)="ü",$S62,0)</f>
        <v>#N/A</v>
      </c>
      <c r="AC62" s="145" t="e">
        <f>IF($N62=0,0,IF(VLOOKUP($H62,'How the score is generated (H)'!$B$4:$H$72,4,0)="ü",2,0))</f>
        <v>#N/A</v>
      </c>
      <c r="AD62" s="35" t="e">
        <f>IF(VLOOKUP($H62,'How the score is generated (H)'!$B$4:$H$72,5,0)="ü",$Q62,0)</f>
        <v>#N/A</v>
      </c>
      <c r="AE62" s="36" t="e">
        <f>IF(VLOOKUP($H62,'How the score is generated (H)'!$B$4:$H$72,5,0)="ü",$S62,0)</f>
        <v>#N/A</v>
      </c>
      <c r="AF62" s="145" t="e">
        <f>IF($N62=0,0,IF(VLOOKUP($H62,'How the score is generated (H)'!$B$4:$H$72,5,0)="ü",2,0))</f>
        <v>#N/A</v>
      </c>
      <c r="AG62" s="35" t="e">
        <f>IF(VLOOKUP($H62,'How the score is generated (H)'!$B$4:$H$72,6,0)="ü",$Q62,0)</f>
        <v>#N/A</v>
      </c>
      <c r="AH62" s="36" t="e">
        <f>IF(VLOOKUP($H62,'How the score is generated (H)'!$B$4:$H$72,6,0)="ü",$S62,0)</f>
        <v>#N/A</v>
      </c>
      <c r="AI62" s="145" t="e">
        <f>IF($N62=0,0,IF(VLOOKUP($H62,'How the score is generated (H)'!$B$4:$H$72,6,0)="ü",2,0))</f>
        <v>#N/A</v>
      </c>
      <c r="AJ62" s="35" t="e">
        <f>IF(VLOOKUP($H62,'How the score is generated (H)'!$B$4:$H$72,7,0)="ü",$Q62,0)</f>
        <v>#N/A</v>
      </c>
      <c r="AK62" s="36" t="e">
        <f>IF(VLOOKUP($H62,'How the score is generated (H)'!$B$4:$H$72,7,0)="ü",$S62,0)</f>
        <v>#N/A</v>
      </c>
      <c r="AL62" s="145" t="e">
        <f>IF($N62=0,0,IF(VLOOKUP($H62,'How the score is generated (H)'!$B$4:$H$72,7,0)="ü",2,0))</f>
        <v>#N/A</v>
      </c>
      <c r="AM62" s="35" t="e">
        <f>IF(VLOOKUP($H62,'How the score is generated (H)'!$B$4:$H$72,8,0)="ü",$Q62,0)</f>
        <v>#N/A</v>
      </c>
      <c r="AN62" s="36" t="e">
        <f>IF(VLOOKUP($H62,'How the score is generated (H)'!$B$4:$H$72,8,0)="ü",$S62,0)</f>
        <v>#N/A</v>
      </c>
      <c r="AO62" s="145" t="e">
        <f>IF($N62=0,0,IF(VLOOKUP($H62,'How the score is generated (H)'!$B$4:$H$72,8,0)="ü",2,0))</f>
        <v>#N/A</v>
      </c>
      <c r="AP62" s="23"/>
      <c r="AQ62" s="35" t="e">
        <f>IF(VLOOKUP($H62,'How the score is generated (P)'!$B$4:$I$72,2,0)="ü",$Q62,0)</f>
        <v>#N/A</v>
      </c>
      <c r="AR62" s="36" t="e">
        <f>IF(VLOOKUP($H62,'How the score is generated (P)'!$B$4:$I$72,2,0)="ü",$S62,0)</f>
        <v>#N/A</v>
      </c>
      <c r="AS62" s="145" t="e">
        <f>IF($N62=0,0,IF(VLOOKUP($H62,'How the score is generated (P)'!$B$4:$I$72,2,0)="ü",2,0))</f>
        <v>#N/A</v>
      </c>
      <c r="AT62" s="35" t="e">
        <f>IF(VLOOKUP($H62,'How the score is generated (P)'!$B$4:$I$72,3,0)="ü",$Q62,0)</f>
        <v>#N/A</v>
      </c>
      <c r="AU62" s="36" t="e">
        <f>IF(VLOOKUP($H62,'How the score is generated (P)'!$B$4:$I$72,3,0)="ü",$S62,0)</f>
        <v>#N/A</v>
      </c>
      <c r="AV62" s="145" t="e">
        <f>IF($N62=0,0,IF(VLOOKUP($H62,'How the score is generated (P)'!$B$4:$I$72,3,0)="ü",2,0))</f>
        <v>#N/A</v>
      </c>
      <c r="AW62" s="35" t="e">
        <f>IF(VLOOKUP($H62,'How the score is generated (P)'!$B$4:$I$72,4,0)="ü",$Q62,0)</f>
        <v>#N/A</v>
      </c>
      <c r="AX62" s="36" t="e">
        <f>IF(VLOOKUP($H62,'How the score is generated (P)'!$B$4:$I$72,4,0)="ü",$S62,0)</f>
        <v>#N/A</v>
      </c>
      <c r="AY62" s="145" t="e">
        <f>IF($N62=0,0,IF(VLOOKUP($H62,'How the score is generated (P)'!$B$4:$I$72,4,0)="ü",2,0))</f>
        <v>#N/A</v>
      </c>
      <c r="AZ62" s="35" t="e">
        <f>IF(VLOOKUP($H62,'How the score is generated (P)'!$B$4:$I$72,5,0)="ü",$Q62,0)</f>
        <v>#N/A</v>
      </c>
      <c r="BA62" s="36" t="e">
        <f>IF(VLOOKUP($H62,'How the score is generated (P)'!$B$4:$I$72,5,0)="ü",$S62,0)</f>
        <v>#N/A</v>
      </c>
      <c r="BB62" s="145" t="e">
        <f>IF($N62=0,0,IF(VLOOKUP($H62,'How the score is generated (P)'!$B$4:$I$72,5,0)="ü",2,0))</f>
        <v>#N/A</v>
      </c>
      <c r="BC62" s="35" t="e">
        <f>IF(VLOOKUP($H62,'How the score is generated (P)'!$B$4:$I$72,6,0)="ü",$Q62,0)</f>
        <v>#N/A</v>
      </c>
      <c r="BD62" s="36" t="e">
        <f>IF(VLOOKUP($H62,'How the score is generated (P)'!$B$4:$I$72,6,0)="ü",$S62,0)</f>
        <v>#N/A</v>
      </c>
      <c r="BE62" s="145" t="e">
        <f>IF($N62=0,0,IF(VLOOKUP($H62,'How the score is generated (P)'!$B$4:$I$72,6,0)="ü",2,0))</f>
        <v>#N/A</v>
      </c>
      <c r="BF62" s="35" t="e">
        <f>IF(VLOOKUP($H62,'How the score is generated (P)'!$B$4:$I$72,7,0)="ü",$Q62,0)</f>
        <v>#N/A</v>
      </c>
      <c r="BG62" s="36" t="e">
        <f>IF(VLOOKUP($H62,'How the score is generated (P)'!$B$4:$I$72,7,0)="ü",$S62,0)</f>
        <v>#N/A</v>
      </c>
      <c r="BH62" s="145" t="e">
        <f>IF($N62=0,0,IF(VLOOKUP($H62,'How the score is generated (P)'!$B$4:$I$72,7,0)="ü",2,0))</f>
        <v>#N/A</v>
      </c>
      <c r="BI62" s="35" t="e">
        <f>IF(VLOOKUP($H62,'How the score is generated (P)'!$B$4:$I$72,8,0)="ü",$Q62,0)</f>
        <v>#N/A</v>
      </c>
      <c r="BJ62" s="36" t="e">
        <f>IF(VLOOKUP($H62,'How the score is generated (P)'!$B$4:$I$72,8,0)="ü",$S62,0)</f>
        <v>#N/A</v>
      </c>
      <c r="BK62" s="145" t="e">
        <f>IF($N62=0,0,IF(VLOOKUP($H62,'How the score is generated (P)'!$B$4:$I$72,8,0)="ü",2,0))</f>
        <v>#N/A</v>
      </c>
      <c r="BL62" s="23"/>
      <c r="BM62" s="255"/>
      <c r="BN62" s="23"/>
      <c r="BO62" s="328"/>
      <c r="BT62" s="327"/>
      <c r="BU62" s="327"/>
      <c r="BV62" s="327"/>
      <c r="BW62" s="327"/>
      <c r="BX62" s="327"/>
    </row>
    <row r="63" spans="1:76" ht="15" thickBot="1" x14ac:dyDescent="0.4">
      <c r="A63" s="23"/>
      <c r="B63" s="31"/>
      <c r="C63" s="53"/>
      <c r="D63" s="47"/>
      <c r="E63" s="47"/>
      <c r="F63" s="47"/>
      <c r="G63" s="171" t="s">
        <v>162</v>
      </c>
      <c r="H63" s="172"/>
      <c r="I63" s="263"/>
      <c r="J63" s="172"/>
      <c r="K63" s="172"/>
      <c r="L63" s="172"/>
      <c r="M63" s="172"/>
      <c r="N63" s="48"/>
      <c r="O63" s="49" t="e">
        <f>Q63&amp;"/"&amp;R63</f>
        <v>#REF!</v>
      </c>
      <c r="P63" s="50" t="e">
        <f>S63&amp;"/"&amp;T63</f>
        <v>#REF!</v>
      </c>
      <c r="Q63" s="51" t="e">
        <f>SUM(Q51:Q62)</f>
        <v>#REF!</v>
      </c>
      <c r="R63" s="51">
        <f>SUM(R51:R62)</f>
        <v>24</v>
      </c>
      <c r="S63" s="51" t="e">
        <f>SUM(S51:S62)</f>
        <v>#REF!</v>
      </c>
      <c r="T63" s="51">
        <f>SUM(T51:T62)</f>
        <v>24</v>
      </c>
      <c r="U63" s="54"/>
      <c r="V63" s="23"/>
      <c r="W63" s="23"/>
      <c r="X63" s="54"/>
      <c r="Y63" s="23"/>
      <c r="Z63" s="23"/>
      <c r="AA63" s="54"/>
      <c r="AB63" s="23"/>
      <c r="AC63" s="23"/>
      <c r="AD63" s="54"/>
      <c r="AE63" s="23"/>
      <c r="AF63" s="23"/>
      <c r="AG63" s="54"/>
      <c r="AH63" s="23"/>
      <c r="AI63" s="23"/>
      <c r="AJ63" s="54"/>
      <c r="AK63" s="23"/>
      <c r="AL63" s="23"/>
      <c r="AM63" s="54"/>
      <c r="AN63" s="23"/>
      <c r="AO63" s="23"/>
      <c r="AP63" s="23"/>
      <c r="AQ63" s="54"/>
      <c r="AR63" s="23"/>
      <c r="AS63" s="23"/>
      <c r="AT63" s="54"/>
      <c r="AU63" s="23"/>
      <c r="AV63" s="23"/>
      <c r="AW63" s="54"/>
      <c r="AX63" s="23"/>
      <c r="AY63" s="23"/>
      <c r="AZ63" s="54"/>
      <c r="BA63" s="23"/>
      <c r="BB63" s="23"/>
      <c r="BC63" s="54"/>
      <c r="BD63" s="23"/>
      <c r="BE63" s="23"/>
      <c r="BF63" s="54"/>
      <c r="BG63" s="23"/>
      <c r="BH63" s="23"/>
      <c r="BI63" s="54"/>
      <c r="BJ63" s="23"/>
      <c r="BK63" s="23"/>
      <c r="BL63" s="23"/>
      <c r="BM63" s="23"/>
      <c r="BN63" s="23"/>
      <c r="BO63" s="23"/>
      <c r="BT63" s="61"/>
      <c r="BU63" s="61"/>
      <c r="BV63" s="61"/>
      <c r="BW63" s="61"/>
      <c r="BX63" s="61"/>
    </row>
    <row r="64" spans="1:76" ht="21.5" thickBot="1" x14ac:dyDescent="0.4">
      <c r="A64" s="23"/>
      <c r="B64" s="77"/>
      <c r="C64" s="78"/>
      <c r="D64" s="53"/>
      <c r="E64" s="53"/>
      <c r="F64" s="53"/>
      <c r="G64" s="74"/>
      <c r="H64" s="74"/>
      <c r="I64" s="265"/>
      <c r="J64" s="67"/>
      <c r="K64" s="61"/>
      <c r="L64" s="61"/>
      <c r="M64" s="61"/>
      <c r="N64" s="61"/>
      <c r="O64" s="61"/>
      <c r="P64" s="61"/>
      <c r="Q64" s="61"/>
      <c r="R64" s="61"/>
      <c r="S64" s="61"/>
      <c r="T64" s="61"/>
      <c r="U64" s="54"/>
      <c r="V64" s="23"/>
      <c r="W64" s="23"/>
      <c r="X64" s="54"/>
      <c r="Y64" s="23"/>
      <c r="Z64" s="23"/>
      <c r="AA64" s="54"/>
      <c r="AB64" s="23"/>
      <c r="AC64" s="23"/>
      <c r="AD64" s="54"/>
      <c r="AE64" s="23"/>
      <c r="AF64" s="23"/>
      <c r="AG64" s="54"/>
      <c r="AH64" s="23"/>
      <c r="AI64" s="23"/>
      <c r="AJ64" s="54"/>
      <c r="AK64" s="23"/>
      <c r="AL64" s="23"/>
      <c r="AM64" s="54"/>
      <c r="AN64" s="23"/>
      <c r="AO64" s="23"/>
      <c r="AP64" s="23"/>
      <c r="AQ64" s="54"/>
      <c r="AR64" s="23"/>
      <c r="AS64" s="23"/>
      <c r="AT64" s="54"/>
      <c r="AU64" s="23"/>
      <c r="AV64" s="23"/>
      <c r="AW64" s="54"/>
      <c r="AX64" s="23"/>
      <c r="AY64" s="23"/>
      <c r="AZ64" s="54"/>
      <c r="BA64" s="23"/>
      <c r="BB64" s="23"/>
      <c r="BC64" s="54"/>
      <c r="BD64" s="23"/>
      <c r="BE64" s="23"/>
      <c r="BF64" s="54"/>
      <c r="BG64" s="23"/>
      <c r="BH64" s="23"/>
      <c r="BI64" s="54"/>
      <c r="BJ64" s="23"/>
      <c r="BK64" s="23"/>
      <c r="BL64" s="23"/>
      <c r="BM64" s="23"/>
      <c r="BN64" s="23"/>
      <c r="BO64" s="23"/>
      <c r="BT64" s="30"/>
      <c r="BU64" s="30"/>
      <c r="BV64" s="30"/>
      <c r="BW64" s="30"/>
      <c r="BX64" s="30"/>
    </row>
    <row r="65" spans="1:76" ht="16" thickBot="1" x14ac:dyDescent="0.4">
      <c r="A65" s="23"/>
      <c r="B65" s="77"/>
      <c r="C65" s="78"/>
      <c r="D65" s="78"/>
      <c r="E65" s="78"/>
      <c r="F65" s="78"/>
      <c r="G65" s="523" t="s">
        <v>208</v>
      </c>
      <c r="H65" s="650"/>
      <c r="I65" s="650"/>
      <c r="J65" s="650"/>
      <c r="K65" s="650"/>
      <c r="L65" s="650"/>
      <c r="M65" s="651"/>
      <c r="N65" s="28"/>
      <c r="O65" s="28" t="s">
        <v>32</v>
      </c>
      <c r="P65" s="29" t="s">
        <v>33</v>
      </c>
      <c r="Q65" s="30"/>
      <c r="R65" s="30"/>
      <c r="S65" s="30"/>
      <c r="T65" s="30"/>
      <c r="U65" s="54"/>
      <c r="V65" s="23"/>
      <c r="W65" s="23"/>
      <c r="X65" s="54"/>
      <c r="Y65" s="23"/>
      <c r="Z65" s="23"/>
      <c r="AA65" s="54"/>
      <c r="AB65" s="23"/>
      <c r="AC65" s="23"/>
      <c r="AD65" s="54"/>
      <c r="AE65" s="23"/>
      <c r="AF65" s="23"/>
      <c r="AG65" s="54"/>
      <c r="AH65" s="23"/>
      <c r="AI65" s="23"/>
      <c r="AJ65" s="54"/>
      <c r="AK65" s="23"/>
      <c r="AL65" s="23"/>
      <c r="AM65" s="54"/>
      <c r="AN65" s="23"/>
      <c r="AO65" s="23"/>
      <c r="AP65" s="23"/>
      <c r="AQ65" s="54"/>
      <c r="AR65" s="23"/>
      <c r="AS65" s="23"/>
      <c r="AT65" s="54"/>
      <c r="AU65" s="23"/>
      <c r="AV65" s="23"/>
      <c r="AW65" s="54"/>
      <c r="AX65" s="23"/>
      <c r="AY65" s="23"/>
      <c r="AZ65" s="54"/>
      <c r="BA65" s="23"/>
      <c r="BB65" s="23"/>
      <c r="BC65" s="54"/>
      <c r="BD65" s="23"/>
      <c r="BE65" s="23"/>
      <c r="BF65" s="54"/>
      <c r="BG65" s="23"/>
      <c r="BH65" s="23"/>
      <c r="BI65" s="54"/>
      <c r="BJ65" s="23"/>
      <c r="BK65" s="23"/>
      <c r="BL65" s="23"/>
      <c r="BM65" s="23"/>
      <c r="BN65" s="23"/>
      <c r="BO65" s="23"/>
      <c r="BT65" s="30"/>
      <c r="BU65" s="30"/>
      <c r="BV65" s="30"/>
      <c r="BW65" s="30"/>
      <c r="BX65" s="30"/>
    </row>
    <row r="66" spans="1:76" ht="15" thickBot="1" x14ac:dyDescent="0.4">
      <c r="A66" s="23"/>
      <c r="B66" s="31"/>
      <c r="C66" s="78"/>
      <c r="D66" s="78"/>
      <c r="E66" s="78"/>
      <c r="F66" s="78"/>
      <c r="G66" s="652" t="s">
        <v>209</v>
      </c>
      <c r="H66" s="653"/>
      <c r="I66" s="653"/>
      <c r="J66" s="653"/>
      <c r="K66" s="653"/>
      <c r="L66" s="653"/>
      <c r="M66" s="653"/>
      <c r="N66" s="79"/>
      <c r="O66" s="79"/>
      <c r="P66" s="80"/>
      <c r="Q66" s="81"/>
      <c r="R66" s="81"/>
      <c r="S66" s="81"/>
      <c r="T66" s="81"/>
      <c r="U66" s="54"/>
      <c r="V66" s="23"/>
      <c r="W66" s="23"/>
      <c r="X66" s="54"/>
      <c r="Y66" s="23"/>
      <c r="Z66" s="23"/>
      <c r="AA66" s="54"/>
      <c r="AB66" s="23"/>
      <c r="AC66" s="23"/>
      <c r="AD66" s="54"/>
      <c r="AE66" s="23"/>
      <c r="AF66" s="23"/>
      <c r="AG66" s="54"/>
      <c r="AH66" s="23"/>
      <c r="AI66" s="23"/>
      <c r="AJ66" s="54"/>
      <c r="AK66" s="23"/>
      <c r="AL66" s="23"/>
      <c r="AM66" s="54"/>
      <c r="AN66" s="23"/>
      <c r="AO66" s="23"/>
      <c r="AP66" s="23"/>
      <c r="AQ66" s="54"/>
      <c r="AR66" s="23"/>
      <c r="AS66" s="23"/>
      <c r="AT66" s="54"/>
      <c r="AU66" s="23"/>
      <c r="AV66" s="23"/>
      <c r="AW66" s="54"/>
      <c r="AX66" s="23"/>
      <c r="AY66" s="23"/>
      <c r="AZ66" s="54"/>
      <c r="BA66" s="23"/>
      <c r="BB66" s="23"/>
      <c r="BC66" s="54"/>
      <c r="BD66" s="23"/>
      <c r="BE66" s="23"/>
      <c r="BF66" s="54"/>
      <c r="BG66" s="23"/>
      <c r="BH66" s="23"/>
      <c r="BI66" s="54"/>
      <c r="BJ66" s="23"/>
      <c r="BK66" s="23"/>
      <c r="BL66" s="23"/>
      <c r="BM66" s="23"/>
      <c r="BN66" s="23"/>
      <c r="BO66" s="23"/>
      <c r="BT66" s="81"/>
      <c r="BU66" s="81"/>
      <c r="BV66" s="81">
        <f>IF(N67=0,"",IF(O67="","",O67))</f>
        <v>0</v>
      </c>
      <c r="BW66" s="81">
        <f>IF(N67=0,"",IF(P67="","",P67))</f>
        <v>0</v>
      </c>
      <c r="BX66" s="81"/>
    </row>
    <row r="67" spans="1:76" ht="39.5" thickBot="1" x14ac:dyDescent="0.4">
      <c r="A67" s="23"/>
      <c r="B67" s="31"/>
      <c r="C67" s="181" t="s">
        <v>210</v>
      </c>
      <c r="D67" s="163">
        <f>D61+1</f>
        <v>43</v>
      </c>
      <c r="E67" s="197" t="s">
        <v>43</v>
      </c>
      <c r="F67" s="220" t="s">
        <v>20</v>
      </c>
      <c r="G67" s="219" t="s">
        <v>211</v>
      </c>
      <c r="H67" s="174" t="s">
        <v>212</v>
      </c>
      <c r="I67" s="271"/>
      <c r="J67" s="190"/>
      <c r="K67" s="174" t="s">
        <v>213</v>
      </c>
      <c r="L67" s="174" t="s">
        <v>214</v>
      </c>
      <c r="M67" s="176" t="s">
        <v>215</v>
      </c>
      <c r="N67" s="170">
        <f>IF(Project!$B$27="Off Highway",0,IF(Project!$B$37="Yes",1,0))</f>
        <v>1</v>
      </c>
      <c r="O67" s="237">
        <f>IF(Scoring!O66="A",0,Scoring!O66)</f>
        <v>0</v>
      </c>
      <c r="P67" s="144">
        <f>IF(Scoring!P66="A",0,Scoring!P66)</f>
        <v>0</v>
      </c>
      <c r="Q67" s="129">
        <f>IF($N67=0,0,O67)</f>
        <v>0</v>
      </c>
      <c r="R67" s="34">
        <f>IF($N67=0,0,2)</f>
        <v>2</v>
      </c>
      <c r="S67" s="34">
        <f>IF($N67=0,0,Scoring!P66)</f>
        <v>0</v>
      </c>
      <c r="T67" s="34">
        <f>IF($N67=0,0,2)</f>
        <v>2</v>
      </c>
      <c r="U67" s="35" t="e">
        <f>IF(VLOOKUP($H67,'How the score is generated (H)'!$B$4:$H$72,2,0)="ü",$Q67,0)</f>
        <v>#N/A</v>
      </c>
      <c r="V67" s="36" t="e">
        <f>IF(VLOOKUP($H67,'How the score is generated (H)'!$B$4:$H$72,2,0)="ü",$S67,0)</f>
        <v>#N/A</v>
      </c>
      <c r="W67" s="145" t="e">
        <f>IF($N67=0,0,IF(VLOOKUP($H67,'How the score is generated (H)'!$B$4:$H$72,2,0)="ü",2,0))</f>
        <v>#N/A</v>
      </c>
      <c r="X67" s="35" t="e">
        <f>IF(VLOOKUP($H67,'How the score is generated (H)'!$B$4:$H$72,3,0)="ü",$Q67,0)</f>
        <v>#N/A</v>
      </c>
      <c r="Y67" s="36" t="e">
        <f>IF(VLOOKUP($H67,'How the score is generated (H)'!$B$4:$H$72,3,0)="ü",$S67,0)</f>
        <v>#N/A</v>
      </c>
      <c r="Z67" s="145" t="e">
        <f>IF($N67=0,0,IF(VLOOKUP($H67,'How the score is generated (H)'!$B$4:$H$72,3,0)="ü",2,0))</f>
        <v>#N/A</v>
      </c>
      <c r="AA67" s="35" t="e">
        <f>IF(VLOOKUP($H67,'How the score is generated (H)'!$B$4:$H$72,4,0)="ü",$Q67,0)</f>
        <v>#N/A</v>
      </c>
      <c r="AB67" s="36" t="e">
        <f>IF(VLOOKUP($H67,'How the score is generated (H)'!$B$4:$H$72,4,0)="ü",$S67,0)</f>
        <v>#N/A</v>
      </c>
      <c r="AC67" s="145" t="e">
        <f>IF($N67=0,0,IF(VLOOKUP($H67,'How the score is generated (H)'!$B$4:$H$72,4,0)="ü",2,0))</f>
        <v>#N/A</v>
      </c>
      <c r="AD67" s="35" t="e">
        <f>IF(VLOOKUP($H67,'How the score is generated (H)'!$B$4:$H$72,5,0)="ü",$Q67,0)</f>
        <v>#N/A</v>
      </c>
      <c r="AE67" s="36" t="e">
        <f>IF(VLOOKUP($H67,'How the score is generated (H)'!$B$4:$H$72,5,0)="ü",$S67,0)</f>
        <v>#N/A</v>
      </c>
      <c r="AF67" s="145" t="e">
        <f>IF($N67=0,0,IF(VLOOKUP($H67,'How the score is generated (H)'!$B$4:$H$72,5,0)="ü",2,0))</f>
        <v>#N/A</v>
      </c>
      <c r="AG67" s="35" t="e">
        <f>IF(VLOOKUP($H67,'How the score is generated (H)'!$B$4:$H$72,6,0)="ü",$Q67,0)</f>
        <v>#N/A</v>
      </c>
      <c r="AH67" s="36" t="e">
        <f>IF(VLOOKUP($H67,'How the score is generated (H)'!$B$4:$H$72,6,0)="ü",$S67,0)</f>
        <v>#N/A</v>
      </c>
      <c r="AI67" s="145" t="e">
        <f>IF($N67=0,0,IF(VLOOKUP($H67,'How the score is generated (H)'!$B$4:$H$72,6,0)="ü",2,0))</f>
        <v>#N/A</v>
      </c>
      <c r="AJ67" s="35" t="e">
        <f>IF(VLOOKUP($H67,'How the score is generated (H)'!$B$4:$H$72,7,0)="ü",$Q67,0)</f>
        <v>#N/A</v>
      </c>
      <c r="AK67" s="36" t="e">
        <f>IF(VLOOKUP($H67,'How the score is generated (H)'!$B$4:$H$72,7,0)="ü",$S67,0)</f>
        <v>#N/A</v>
      </c>
      <c r="AL67" s="145" t="e">
        <f>IF($N67=0,0,IF(VLOOKUP($H67,'How the score is generated (H)'!$B$4:$H$72,7,0)="ü",2,0))</f>
        <v>#N/A</v>
      </c>
      <c r="AM67" s="35" t="e">
        <f>IF(VLOOKUP($H67,'How the score is generated (H)'!$B$4:$H$72,8,0)="ü",$Q67,0)</f>
        <v>#N/A</v>
      </c>
      <c r="AN67" s="36" t="e">
        <f>IF(VLOOKUP($H67,'How the score is generated (H)'!$B$4:$H$72,8,0)="ü",$S67,0)</f>
        <v>#N/A</v>
      </c>
      <c r="AO67" s="145" t="e">
        <f>IF($N67=0,0,IF(VLOOKUP($H67,'How the score is generated (H)'!$B$4:$H$72,8,0)="ü",2,0))</f>
        <v>#N/A</v>
      </c>
      <c r="AP67" s="23"/>
      <c r="AQ67" s="35" t="e">
        <f>IF(VLOOKUP($H67,'How the score is generated (P)'!$B$4:$I$72,2,0)="ü",$Q67,0)</f>
        <v>#N/A</v>
      </c>
      <c r="AR67" s="36" t="e">
        <f>IF(VLOOKUP($H67,'How the score is generated (P)'!$B$4:$I$72,2,0)="ü",$S67,0)</f>
        <v>#N/A</v>
      </c>
      <c r="AS67" s="145" t="e">
        <f>IF($N67=0,0,IF(VLOOKUP($H67,'How the score is generated (P)'!$B$4:$I$72,2,0)="ü",2,0))</f>
        <v>#N/A</v>
      </c>
      <c r="AT67" s="35" t="e">
        <f>IF(VLOOKUP($H67,'How the score is generated (P)'!$B$4:$I$72,3,0)="ü",$Q67,0)</f>
        <v>#N/A</v>
      </c>
      <c r="AU67" s="36" t="e">
        <f>IF(VLOOKUP($H67,'How the score is generated (P)'!$B$4:$I$72,3,0)="ü",$S67,0)</f>
        <v>#N/A</v>
      </c>
      <c r="AV67" s="145" t="e">
        <f>IF($N67=0,0,IF(VLOOKUP($H67,'How the score is generated (P)'!$B$4:$I$72,3,0)="ü",2,0))</f>
        <v>#N/A</v>
      </c>
      <c r="AW67" s="35" t="e">
        <f>IF(VLOOKUP($H67,'How the score is generated (P)'!$B$4:$I$72,4,0)="ü",$Q67,0)</f>
        <v>#N/A</v>
      </c>
      <c r="AX67" s="36" t="e">
        <f>IF(VLOOKUP($H67,'How the score is generated (P)'!$B$4:$I$72,4,0)="ü",$S67,0)</f>
        <v>#N/A</v>
      </c>
      <c r="AY67" s="145" t="e">
        <f>IF($N67=0,0,IF(VLOOKUP($H67,'How the score is generated (P)'!$B$4:$I$72,4,0)="ü",2,0))</f>
        <v>#N/A</v>
      </c>
      <c r="AZ67" s="35" t="e">
        <f>IF(VLOOKUP($H67,'How the score is generated (P)'!$B$4:$I$72,5,0)="ü",$Q67,0)</f>
        <v>#N/A</v>
      </c>
      <c r="BA67" s="36" t="e">
        <f>IF(VLOOKUP($H67,'How the score is generated (P)'!$B$4:$I$72,5,0)="ü",$S67,0)</f>
        <v>#N/A</v>
      </c>
      <c r="BB67" s="145" t="e">
        <f>IF($N67=0,0,IF(VLOOKUP($H67,'How the score is generated (P)'!$B$4:$I$72,5,0)="ü",2,0))</f>
        <v>#N/A</v>
      </c>
      <c r="BC67" s="35" t="e">
        <f>IF(VLOOKUP($H67,'How the score is generated (P)'!$B$4:$I$72,6,0)="ü",$Q67,0)</f>
        <v>#N/A</v>
      </c>
      <c r="BD67" s="36" t="e">
        <f>IF(VLOOKUP($H67,'How the score is generated (P)'!$B$4:$I$72,6,0)="ü",$S67,0)</f>
        <v>#N/A</v>
      </c>
      <c r="BE67" s="145" t="e">
        <f>IF($N67=0,0,IF(VLOOKUP($H67,'How the score is generated (P)'!$B$4:$I$72,6,0)="ü",2,0))</f>
        <v>#N/A</v>
      </c>
      <c r="BF67" s="35" t="e">
        <f>IF(VLOOKUP($H67,'How the score is generated (P)'!$B$4:$I$72,7,0)="ü",$Q67,0)</f>
        <v>#N/A</v>
      </c>
      <c r="BG67" s="36" t="e">
        <f>IF(VLOOKUP($H67,'How the score is generated (P)'!$B$4:$I$72,7,0)="ü",$S67,0)</f>
        <v>#N/A</v>
      </c>
      <c r="BH67" s="145" t="e">
        <f>IF($N67=0,0,IF(VLOOKUP($H67,'How the score is generated (P)'!$B$4:$I$72,7,0)="ü",2,0))</f>
        <v>#N/A</v>
      </c>
      <c r="BI67" s="35" t="e">
        <f>IF(VLOOKUP($H67,'How the score is generated (P)'!$B$4:$I$72,8,0)="ü",$Q67,0)</f>
        <v>#N/A</v>
      </c>
      <c r="BJ67" s="36" t="e">
        <f>IF(VLOOKUP($H67,'How the score is generated (P)'!$B$4:$I$72,8,0)="ü",$S67,0)</f>
        <v>#N/A</v>
      </c>
      <c r="BK67" s="145" t="e">
        <f>IF($N67=0,0,IF(VLOOKUP($H67,'How the score is generated (P)'!$B$4:$I$72,8,0)="ü",2,0))</f>
        <v>#N/A</v>
      </c>
      <c r="BL67" s="23"/>
      <c r="BM67" s="201"/>
      <c r="BN67" s="23"/>
      <c r="BO67" s="146"/>
      <c r="BT67" s="34" t="s">
        <v>177</v>
      </c>
      <c r="BU67" s="34" t="str">
        <f>IF(BT67="Amber",IF(S67=0,"Residual Amber",""),"")</f>
        <v>Residual Amber</v>
      </c>
      <c r="BV67" s="34">
        <f>IF(N67=0,"",IF(O67="","",O67))</f>
        <v>0</v>
      </c>
      <c r="BW67" s="34">
        <f t="shared" ref="BW67:BW88" si="31">IF(N67=0,"",IF(P67="","",P67))</f>
        <v>0</v>
      </c>
      <c r="BX67" s="34" t="str">
        <f t="shared" ref="BX67:BX88" si="32">D67&amp;". "&amp;H67</f>
        <v>43. Smooth transition between modes or route continuity maintained through interchanges</v>
      </c>
    </row>
    <row r="68" spans="1:76" ht="39.5" thickBot="1" x14ac:dyDescent="0.4">
      <c r="A68" s="23"/>
      <c r="B68" s="31"/>
      <c r="C68" s="82" t="s">
        <v>210</v>
      </c>
      <c r="D68" s="164">
        <f>D67+1</f>
        <v>44</v>
      </c>
      <c r="E68" s="221" t="s">
        <v>39</v>
      </c>
      <c r="F68" s="223" t="s">
        <v>20</v>
      </c>
      <c r="G68" s="222" t="s">
        <v>216</v>
      </c>
      <c r="H68" s="41" t="s">
        <v>217</v>
      </c>
      <c r="I68" s="272"/>
      <c r="J68" s="40" t="s">
        <v>218</v>
      </c>
      <c r="K68" s="41" t="s">
        <v>43</v>
      </c>
      <c r="L68" s="41" t="s">
        <v>219</v>
      </c>
      <c r="M68" s="42" t="s">
        <v>220</v>
      </c>
      <c r="N68" s="170">
        <f>IF(Project!$B$27="Off Highway",0,IF(Project!$B$37="Yes",1,0))</f>
        <v>1</v>
      </c>
      <c r="O68" s="237">
        <f>IF(Scoring!O67="A",0,Scoring!O67)</f>
        <v>0</v>
      </c>
      <c r="P68" s="144">
        <f>IF(Scoring!P67="A",0,Scoring!P67)</f>
        <v>0</v>
      </c>
      <c r="Q68" s="129">
        <f>IF($N68=0,0,O68)</f>
        <v>0</v>
      </c>
      <c r="R68" s="34">
        <f>IF($N68=0,0,2)</f>
        <v>2</v>
      </c>
      <c r="S68" s="34">
        <f>IF($N68=0,0,Scoring!P67)</f>
        <v>0</v>
      </c>
      <c r="T68" s="34">
        <f>IF($N68=0,0,2)</f>
        <v>2</v>
      </c>
      <c r="U68" s="35" t="e">
        <f>IF(VLOOKUP($H68,'How the score is generated (H)'!$B$4:$H$72,2,0)="ü",$Q68,0)</f>
        <v>#N/A</v>
      </c>
      <c r="V68" s="36" t="e">
        <f>IF(VLOOKUP($H68,'How the score is generated (H)'!$B$4:$H$72,2,0)="ü",$S68,0)</f>
        <v>#N/A</v>
      </c>
      <c r="W68" s="145" t="e">
        <f>IF($N68=0,0,IF(VLOOKUP($H68,'How the score is generated (H)'!$B$4:$H$72,2,0)="ü",2,0))</f>
        <v>#N/A</v>
      </c>
      <c r="X68" s="35" t="e">
        <f>IF(VLOOKUP($H68,'How the score is generated (H)'!$B$4:$H$72,3,0)="ü",$Q68,0)</f>
        <v>#N/A</v>
      </c>
      <c r="Y68" s="36" t="e">
        <f>IF(VLOOKUP($H68,'How the score is generated (H)'!$B$4:$H$72,3,0)="ü",$S68,0)</f>
        <v>#N/A</v>
      </c>
      <c r="Z68" s="145" t="e">
        <f>IF($N68=0,0,IF(VLOOKUP($H68,'How the score is generated (H)'!$B$4:$H$72,3,0)="ü",2,0))</f>
        <v>#N/A</v>
      </c>
      <c r="AA68" s="35" t="e">
        <f>IF(VLOOKUP($H68,'How the score is generated (H)'!$B$4:$H$72,4,0)="ü",$Q68,0)</f>
        <v>#N/A</v>
      </c>
      <c r="AB68" s="36" t="e">
        <f>IF(VLOOKUP($H68,'How the score is generated (H)'!$B$4:$H$72,4,0)="ü",$S68,0)</f>
        <v>#N/A</v>
      </c>
      <c r="AC68" s="145" t="e">
        <f>IF($N68=0,0,IF(VLOOKUP($H68,'How the score is generated (H)'!$B$4:$H$72,4,0)="ü",2,0))</f>
        <v>#N/A</v>
      </c>
      <c r="AD68" s="35" t="e">
        <f>IF(VLOOKUP($H68,'How the score is generated (H)'!$B$4:$H$72,5,0)="ü",$Q68,0)</f>
        <v>#N/A</v>
      </c>
      <c r="AE68" s="36" t="e">
        <f>IF(VLOOKUP($H68,'How the score is generated (H)'!$B$4:$H$72,5,0)="ü",$S68,0)</f>
        <v>#N/A</v>
      </c>
      <c r="AF68" s="145" t="e">
        <f>IF($N68=0,0,IF(VLOOKUP($H68,'How the score is generated (H)'!$B$4:$H$72,5,0)="ü",2,0))</f>
        <v>#N/A</v>
      </c>
      <c r="AG68" s="35" t="e">
        <f>IF(VLOOKUP($H68,'How the score is generated (H)'!$B$4:$H$72,6,0)="ü",$Q68,0)</f>
        <v>#N/A</v>
      </c>
      <c r="AH68" s="36" t="e">
        <f>IF(VLOOKUP($H68,'How the score is generated (H)'!$B$4:$H$72,6,0)="ü",$S68,0)</f>
        <v>#N/A</v>
      </c>
      <c r="AI68" s="145" t="e">
        <f>IF($N68=0,0,IF(VLOOKUP($H68,'How the score is generated (H)'!$B$4:$H$72,6,0)="ü",2,0))</f>
        <v>#N/A</v>
      </c>
      <c r="AJ68" s="35" t="e">
        <f>IF(VLOOKUP($H68,'How the score is generated (H)'!$B$4:$H$72,7,0)="ü",$Q68,0)</f>
        <v>#N/A</v>
      </c>
      <c r="AK68" s="36" t="e">
        <f>IF(VLOOKUP($H68,'How the score is generated (H)'!$B$4:$H$72,7,0)="ü",$S68,0)</f>
        <v>#N/A</v>
      </c>
      <c r="AL68" s="145" t="e">
        <f>IF($N68=0,0,IF(VLOOKUP($H68,'How the score is generated (H)'!$B$4:$H$72,7,0)="ü",2,0))</f>
        <v>#N/A</v>
      </c>
      <c r="AM68" s="35" t="e">
        <f>IF(VLOOKUP($H68,'How the score is generated (H)'!$B$4:$H$72,8,0)="ü",$Q68,0)</f>
        <v>#N/A</v>
      </c>
      <c r="AN68" s="36" t="e">
        <f>IF(VLOOKUP($H68,'How the score is generated (H)'!$B$4:$H$72,8,0)="ü",$S68,0)</f>
        <v>#N/A</v>
      </c>
      <c r="AO68" s="145" t="e">
        <f>IF($N68=0,0,IF(VLOOKUP($H68,'How the score is generated (H)'!$B$4:$H$72,8,0)="ü",2,0))</f>
        <v>#N/A</v>
      </c>
      <c r="AP68" s="23"/>
      <c r="AQ68" s="35" t="e">
        <f>IF(VLOOKUP($H68,'How the score is generated (P)'!$B$4:$I$72,2,0)="ü",$Q68,0)</f>
        <v>#N/A</v>
      </c>
      <c r="AR68" s="36" t="e">
        <f>IF(VLOOKUP($H68,'How the score is generated (P)'!$B$4:$I$72,2,0)="ü",$S68,0)</f>
        <v>#N/A</v>
      </c>
      <c r="AS68" s="145" t="e">
        <f>IF($N68=0,0,IF(VLOOKUP($H68,'How the score is generated (P)'!$B$4:$I$72,2,0)="ü",2,0))</f>
        <v>#N/A</v>
      </c>
      <c r="AT68" s="35" t="e">
        <f>IF(VLOOKUP($H68,'How the score is generated (P)'!$B$4:$I$72,3,0)="ü",$Q68,0)</f>
        <v>#N/A</v>
      </c>
      <c r="AU68" s="36" t="e">
        <f>IF(VLOOKUP($H68,'How the score is generated (P)'!$B$4:$I$72,3,0)="ü",$S68,0)</f>
        <v>#N/A</v>
      </c>
      <c r="AV68" s="145" t="e">
        <f>IF($N68=0,0,IF(VLOOKUP($H68,'How the score is generated (P)'!$B$4:$I$72,3,0)="ü",2,0))</f>
        <v>#N/A</v>
      </c>
      <c r="AW68" s="35" t="e">
        <f>IF(VLOOKUP($H68,'How the score is generated (P)'!$B$4:$I$72,4,0)="ü",$Q68,0)</f>
        <v>#N/A</v>
      </c>
      <c r="AX68" s="36" t="e">
        <f>IF(VLOOKUP($H68,'How the score is generated (P)'!$B$4:$I$72,4,0)="ü",$S68,0)</f>
        <v>#N/A</v>
      </c>
      <c r="AY68" s="145" t="e">
        <f>IF($N68=0,0,IF(VLOOKUP($H68,'How the score is generated (P)'!$B$4:$I$72,4,0)="ü",2,0))</f>
        <v>#N/A</v>
      </c>
      <c r="AZ68" s="35" t="e">
        <f>IF(VLOOKUP($H68,'How the score is generated (P)'!$B$4:$I$72,5,0)="ü",$Q68,0)</f>
        <v>#N/A</v>
      </c>
      <c r="BA68" s="36" t="e">
        <f>IF(VLOOKUP($H68,'How the score is generated (P)'!$B$4:$I$72,5,0)="ü",$S68,0)</f>
        <v>#N/A</v>
      </c>
      <c r="BB68" s="145" t="e">
        <f>IF($N68=0,0,IF(VLOOKUP($H68,'How the score is generated (P)'!$B$4:$I$72,5,0)="ü",2,0))</f>
        <v>#N/A</v>
      </c>
      <c r="BC68" s="35" t="e">
        <f>IF(VLOOKUP($H68,'How the score is generated (P)'!$B$4:$I$72,6,0)="ü",$Q68,0)</f>
        <v>#N/A</v>
      </c>
      <c r="BD68" s="36" t="e">
        <f>IF(VLOOKUP($H68,'How the score is generated (P)'!$B$4:$I$72,6,0)="ü",$S68,0)</f>
        <v>#N/A</v>
      </c>
      <c r="BE68" s="145" t="e">
        <f>IF($N68=0,0,IF(VLOOKUP($H68,'How the score is generated (P)'!$B$4:$I$72,6,0)="ü",2,0))</f>
        <v>#N/A</v>
      </c>
      <c r="BF68" s="35" t="e">
        <f>IF(VLOOKUP($H68,'How the score is generated (P)'!$B$4:$I$72,7,0)="ü",$Q68,0)</f>
        <v>#N/A</v>
      </c>
      <c r="BG68" s="36" t="e">
        <f>IF(VLOOKUP($H68,'How the score is generated (P)'!$B$4:$I$72,7,0)="ü",$S68,0)</f>
        <v>#N/A</v>
      </c>
      <c r="BH68" s="145" t="e">
        <f>IF($N68=0,0,IF(VLOOKUP($H68,'How the score is generated (P)'!$B$4:$I$72,7,0)="ü",2,0))</f>
        <v>#N/A</v>
      </c>
      <c r="BI68" s="35" t="e">
        <f>IF(VLOOKUP($H68,'How the score is generated (P)'!$B$4:$I$72,8,0)="ü",$Q68,0)</f>
        <v>#N/A</v>
      </c>
      <c r="BJ68" s="36" t="e">
        <f>IF(VLOOKUP($H68,'How the score is generated (P)'!$B$4:$I$72,8,0)="ü",$S68,0)</f>
        <v>#N/A</v>
      </c>
      <c r="BK68" s="145" t="e">
        <f>IF($N68=0,0,IF(VLOOKUP($H68,'How the score is generated (P)'!$B$4:$I$72,8,0)="ü",2,0))</f>
        <v>#N/A</v>
      </c>
      <c r="BL68" s="23"/>
      <c r="BM68" s="201"/>
      <c r="BN68" s="23"/>
      <c r="BO68" s="146"/>
      <c r="BT68" s="34"/>
      <c r="BU68" s="34" t="str">
        <f>IF(BT68="Amber",IF(S68=0,"Residual Amber",""),"")</f>
        <v/>
      </c>
      <c r="BV68" s="34">
        <f>IF(N68=0,"",IF(O68="","",O68))</f>
        <v>0</v>
      </c>
      <c r="BW68" s="34">
        <f t="shared" si="31"/>
        <v>0</v>
      </c>
      <c r="BX68" s="34" t="str">
        <f t="shared" si="32"/>
        <v>44. Street to station step free access</v>
      </c>
    </row>
    <row r="69" spans="1:76" ht="39.5" thickBot="1" x14ac:dyDescent="0.4">
      <c r="A69" s="23"/>
      <c r="B69" s="31"/>
      <c r="C69" s="65" t="s">
        <v>210</v>
      </c>
      <c r="D69" s="164">
        <f>D68+1</f>
        <v>45</v>
      </c>
      <c r="E69" s="44" t="s">
        <v>39</v>
      </c>
      <c r="F69" s="213" t="s">
        <v>20</v>
      </c>
      <c r="G69" s="39" t="s">
        <v>221</v>
      </c>
      <c r="H69" s="41" t="s">
        <v>222</v>
      </c>
      <c r="I69" s="272"/>
      <c r="J69" s="45"/>
      <c r="K69" s="41" t="s">
        <v>223</v>
      </c>
      <c r="L69" s="41" t="s">
        <v>224</v>
      </c>
      <c r="M69" s="42" t="s">
        <v>225</v>
      </c>
      <c r="N69" s="170">
        <f>IF(Project!$B$27="Off Highway",0,IF(Project!$B$37="Yes",1,0))</f>
        <v>1</v>
      </c>
      <c r="O69" s="237">
        <f>IF(Scoring!O68="A",0,Scoring!O68)</f>
        <v>0</v>
      </c>
      <c r="P69" s="144">
        <f>IF(Scoring!P68="A",0,Scoring!P68)</f>
        <v>0</v>
      </c>
      <c r="Q69" s="129">
        <f>IF($N69=0,0,O69)</f>
        <v>0</v>
      </c>
      <c r="R69" s="34">
        <f>IF($N69=0,0,2)</f>
        <v>2</v>
      </c>
      <c r="S69" s="34">
        <f>IF($N69=0,0,Scoring!P68)</f>
        <v>0</v>
      </c>
      <c r="T69" s="34">
        <f>IF($N69=0,0,2)</f>
        <v>2</v>
      </c>
      <c r="U69" s="35" t="e">
        <f>IF(VLOOKUP($H69,'How the score is generated (H)'!$B$4:$H$72,2,0)="ü",$Q69,0)</f>
        <v>#N/A</v>
      </c>
      <c r="V69" s="36" t="e">
        <f>IF(VLOOKUP($H69,'How the score is generated (H)'!$B$4:$H$72,2,0)="ü",$S69,0)</f>
        <v>#N/A</v>
      </c>
      <c r="W69" s="145" t="e">
        <f>IF($N69=0,0,IF(VLOOKUP($H69,'How the score is generated (H)'!$B$4:$H$72,2,0)="ü",2,0))</f>
        <v>#N/A</v>
      </c>
      <c r="X69" s="35" t="e">
        <f>IF(VLOOKUP($H69,'How the score is generated (H)'!$B$4:$H$72,3,0)="ü",$Q69,0)</f>
        <v>#N/A</v>
      </c>
      <c r="Y69" s="36" t="e">
        <f>IF(VLOOKUP($H69,'How the score is generated (H)'!$B$4:$H$72,3,0)="ü",$S69,0)</f>
        <v>#N/A</v>
      </c>
      <c r="Z69" s="145" t="e">
        <f>IF($N69=0,0,IF(VLOOKUP($H69,'How the score is generated (H)'!$B$4:$H$72,3,0)="ü",2,0))</f>
        <v>#N/A</v>
      </c>
      <c r="AA69" s="35" t="e">
        <f>IF(VLOOKUP($H69,'How the score is generated (H)'!$B$4:$H$72,4,0)="ü",$Q69,0)</f>
        <v>#N/A</v>
      </c>
      <c r="AB69" s="36" t="e">
        <f>IF(VLOOKUP($H69,'How the score is generated (H)'!$B$4:$H$72,4,0)="ü",$S69,0)</f>
        <v>#N/A</v>
      </c>
      <c r="AC69" s="145" t="e">
        <f>IF($N69=0,0,IF(VLOOKUP($H69,'How the score is generated (H)'!$B$4:$H$72,4,0)="ü",2,0))</f>
        <v>#N/A</v>
      </c>
      <c r="AD69" s="35" t="e">
        <f>IF(VLOOKUP($H69,'How the score is generated (H)'!$B$4:$H$72,5,0)="ü",$Q69,0)</f>
        <v>#N/A</v>
      </c>
      <c r="AE69" s="36" t="e">
        <f>IF(VLOOKUP($H69,'How the score is generated (H)'!$B$4:$H$72,5,0)="ü",$S69,0)</f>
        <v>#N/A</v>
      </c>
      <c r="AF69" s="145" t="e">
        <f>IF($N69=0,0,IF(VLOOKUP($H69,'How the score is generated (H)'!$B$4:$H$72,5,0)="ü",2,0))</f>
        <v>#N/A</v>
      </c>
      <c r="AG69" s="35" t="e">
        <f>IF(VLOOKUP($H69,'How the score is generated (H)'!$B$4:$H$72,6,0)="ü",$Q69,0)</f>
        <v>#N/A</v>
      </c>
      <c r="AH69" s="36" t="e">
        <f>IF(VLOOKUP($H69,'How the score is generated (H)'!$B$4:$H$72,6,0)="ü",$S69,0)</f>
        <v>#N/A</v>
      </c>
      <c r="AI69" s="145" t="e">
        <f>IF($N69=0,0,IF(VLOOKUP($H69,'How the score is generated (H)'!$B$4:$H$72,6,0)="ü",2,0))</f>
        <v>#N/A</v>
      </c>
      <c r="AJ69" s="35" t="e">
        <f>IF(VLOOKUP($H69,'How the score is generated (H)'!$B$4:$H$72,7,0)="ü",$Q69,0)</f>
        <v>#N/A</v>
      </c>
      <c r="AK69" s="36" t="e">
        <f>IF(VLOOKUP($H69,'How the score is generated (H)'!$B$4:$H$72,7,0)="ü",$S69,0)</f>
        <v>#N/A</v>
      </c>
      <c r="AL69" s="145" t="e">
        <f>IF($N69=0,0,IF(VLOOKUP($H69,'How the score is generated (H)'!$B$4:$H$72,7,0)="ü",2,0))</f>
        <v>#N/A</v>
      </c>
      <c r="AM69" s="35" t="e">
        <f>IF(VLOOKUP($H69,'How the score is generated (H)'!$B$4:$H$72,8,0)="ü",$Q69,0)</f>
        <v>#N/A</v>
      </c>
      <c r="AN69" s="36" t="e">
        <f>IF(VLOOKUP($H69,'How the score is generated (H)'!$B$4:$H$72,8,0)="ü",$S69,0)</f>
        <v>#N/A</v>
      </c>
      <c r="AO69" s="145" t="e">
        <f>IF($N69=0,0,IF(VLOOKUP($H69,'How the score is generated (H)'!$B$4:$H$72,8,0)="ü",2,0))</f>
        <v>#N/A</v>
      </c>
      <c r="AP69" s="23"/>
      <c r="AQ69" s="35" t="e">
        <f>IF(VLOOKUP($H69,'How the score is generated (P)'!$B$4:$I$72,2,0)="ü",$Q69,0)</f>
        <v>#N/A</v>
      </c>
      <c r="AR69" s="36" t="e">
        <f>IF(VLOOKUP($H69,'How the score is generated (P)'!$B$4:$I$72,2,0)="ü",$S69,0)</f>
        <v>#N/A</v>
      </c>
      <c r="AS69" s="145" t="e">
        <f>IF($N69=0,0,IF(VLOOKUP($H69,'How the score is generated (P)'!$B$4:$I$72,2,0)="ü",2,0))</f>
        <v>#N/A</v>
      </c>
      <c r="AT69" s="35" t="e">
        <f>IF(VLOOKUP($H69,'How the score is generated (P)'!$B$4:$I$72,3,0)="ü",$Q69,0)</f>
        <v>#N/A</v>
      </c>
      <c r="AU69" s="36" t="e">
        <f>IF(VLOOKUP($H69,'How the score is generated (P)'!$B$4:$I$72,3,0)="ü",$S69,0)</f>
        <v>#N/A</v>
      </c>
      <c r="AV69" s="145" t="e">
        <f>IF($N69=0,0,IF(VLOOKUP($H69,'How the score is generated (P)'!$B$4:$I$72,3,0)="ü",2,0))</f>
        <v>#N/A</v>
      </c>
      <c r="AW69" s="35" t="e">
        <f>IF(VLOOKUP($H69,'How the score is generated (P)'!$B$4:$I$72,4,0)="ü",$Q69,0)</f>
        <v>#N/A</v>
      </c>
      <c r="AX69" s="36" t="e">
        <f>IF(VLOOKUP($H69,'How the score is generated (P)'!$B$4:$I$72,4,0)="ü",$S69,0)</f>
        <v>#N/A</v>
      </c>
      <c r="AY69" s="145" t="e">
        <f>IF($N69=0,0,IF(VLOOKUP($H69,'How the score is generated (P)'!$B$4:$I$72,4,0)="ü",2,0))</f>
        <v>#N/A</v>
      </c>
      <c r="AZ69" s="35" t="e">
        <f>IF(VLOOKUP($H69,'How the score is generated (P)'!$B$4:$I$72,5,0)="ü",$Q69,0)</f>
        <v>#N/A</v>
      </c>
      <c r="BA69" s="36" t="e">
        <f>IF(VLOOKUP($H69,'How the score is generated (P)'!$B$4:$I$72,5,0)="ü",$S69,0)</f>
        <v>#N/A</v>
      </c>
      <c r="BB69" s="145" t="e">
        <f>IF($N69=0,0,IF(VLOOKUP($H69,'How the score is generated (P)'!$B$4:$I$72,5,0)="ü",2,0))</f>
        <v>#N/A</v>
      </c>
      <c r="BC69" s="35" t="e">
        <f>IF(VLOOKUP($H69,'How the score is generated (P)'!$B$4:$I$72,6,0)="ü",$Q69,0)</f>
        <v>#N/A</v>
      </c>
      <c r="BD69" s="36" t="e">
        <f>IF(VLOOKUP($H69,'How the score is generated (P)'!$B$4:$I$72,6,0)="ü",$S69,0)</f>
        <v>#N/A</v>
      </c>
      <c r="BE69" s="145" t="e">
        <f>IF($N69=0,0,IF(VLOOKUP($H69,'How the score is generated (P)'!$B$4:$I$72,6,0)="ü",2,0))</f>
        <v>#N/A</v>
      </c>
      <c r="BF69" s="35" t="e">
        <f>IF(VLOOKUP($H69,'How the score is generated (P)'!$B$4:$I$72,7,0)="ü",$Q69,0)</f>
        <v>#N/A</v>
      </c>
      <c r="BG69" s="36" t="e">
        <f>IF(VLOOKUP($H69,'How the score is generated (P)'!$B$4:$I$72,7,0)="ü",$S69,0)</f>
        <v>#N/A</v>
      </c>
      <c r="BH69" s="145" t="e">
        <f>IF($N69=0,0,IF(VLOOKUP($H69,'How the score is generated (P)'!$B$4:$I$72,7,0)="ü",2,0))</f>
        <v>#N/A</v>
      </c>
      <c r="BI69" s="35" t="e">
        <f>IF(VLOOKUP($H69,'How the score is generated (P)'!$B$4:$I$72,8,0)="ü",$Q69,0)</f>
        <v>#N/A</v>
      </c>
      <c r="BJ69" s="36" t="e">
        <f>IF(VLOOKUP($H69,'How the score is generated (P)'!$B$4:$I$72,8,0)="ü",$S69,0)</f>
        <v>#N/A</v>
      </c>
      <c r="BK69" s="145" t="e">
        <f>IF($N69=0,0,IF(VLOOKUP($H69,'How the score is generated (P)'!$B$4:$I$72,8,0)="ü",2,0))</f>
        <v>#N/A</v>
      </c>
      <c r="BL69" s="23"/>
      <c r="BM69" s="201"/>
      <c r="BN69" s="23"/>
      <c r="BO69" s="146"/>
      <c r="BT69" s="34"/>
      <c r="BU69" s="34" t="str">
        <f>IF(BT69="Amber",IF(S69=0,"Residual Amber",""),"")</f>
        <v/>
      </c>
      <c r="BV69" s="34">
        <f>IF(N69=0,"",IF(O69="","",O69))</f>
        <v>0</v>
      </c>
      <c r="BW69" s="34">
        <f t="shared" si="31"/>
        <v>0</v>
      </c>
      <c r="BX69" s="34" t="str">
        <f t="shared" si="32"/>
        <v>45. Pedestrian access to transport interchange</v>
      </c>
    </row>
    <row r="70" spans="1:76" ht="26.5" thickBot="1" x14ac:dyDescent="0.4">
      <c r="A70" s="23"/>
      <c r="B70" s="83"/>
      <c r="C70" s="65" t="s">
        <v>210</v>
      </c>
      <c r="D70" s="165">
        <f>D69+1</f>
        <v>46</v>
      </c>
      <c r="E70" s="166" t="s">
        <v>43</v>
      </c>
      <c r="F70" s="199" t="s">
        <v>43</v>
      </c>
      <c r="G70" s="177" t="s">
        <v>226</v>
      </c>
      <c r="H70" s="178" t="s">
        <v>227</v>
      </c>
      <c r="I70" s="273"/>
      <c r="J70" s="179"/>
      <c r="K70" s="178" t="s">
        <v>228</v>
      </c>
      <c r="L70" s="178" t="s">
        <v>229</v>
      </c>
      <c r="M70" s="180" t="s">
        <v>230</v>
      </c>
      <c r="N70" s="170">
        <f>IF(Project!$B$27="Off Highway",0,IF(Project!$B$37="Yes",1,0))</f>
        <v>1</v>
      </c>
      <c r="O70" s="237">
        <f>IF(Scoring!O69="A",0,Scoring!O69)</f>
        <v>0</v>
      </c>
      <c r="P70" s="144">
        <f>IF(Scoring!P69="A",0,Scoring!P69)</f>
        <v>0</v>
      </c>
      <c r="Q70" s="129">
        <f>IF($N70=0,0,O70)</f>
        <v>0</v>
      </c>
      <c r="R70" s="34">
        <f>IF($N70=0,0,2)</f>
        <v>2</v>
      </c>
      <c r="S70" s="34">
        <f>IF($N70=0,0,Scoring!P69)</f>
        <v>0</v>
      </c>
      <c r="T70" s="34">
        <f>IF($N70=0,0,2)</f>
        <v>2</v>
      </c>
      <c r="U70" s="35" t="e">
        <f>IF(VLOOKUP($H70,'How the score is generated (H)'!$B$4:$H$72,2,0)="ü",$Q70,0)</f>
        <v>#N/A</v>
      </c>
      <c r="V70" s="36" t="e">
        <f>IF(VLOOKUP($H70,'How the score is generated (H)'!$B$4:$H$72,2,0)="ü",$S70,0)</f>
        <v>#N/A</v>
      </c>
      <c r="W70" s="145" t="e">
        <f>IF($N70=0,0,IF(VLOOKUP($H70,'How the score is generated (H)'!$B$4:$H$72,2,0)="ü",2,0))</f>
        <v>#N/A</v>
      </c>
      <c r="X70" s="35" t="e">
        <f>IF(VLOOKUP($H70,'How the score is generated (H)'!$B$4:$H$72,3,0)="ü",$Q70,0)</f>
        <v>#N/A</v>
      </c>
      <c r="Y70" s="36" t="e">
        <f>IF(VLOOKUP($H70,'How the score is generated (H)'!$B$4:$H$72,3,0)="ü",$S70,0)</f>
        <v>#N/A</v>
      </c>
      <c r="Z70" s="145" t="e">
        <f>IF($N70=0,0,IF(VLOOKUP($H70,'How the score is generated (H)'!$B$4:$H$72,3,0)="ü",2,0))</f>
        <v>#N/A</v>
      </c>
      <c r="AA70" s="35" t="e">
        <f>IF(VLOOKUP($H70,'How the score is generated (H)'!$B$4:$H$72,4,0)="ü",$Q70,0)</f>
        <v>#N/A</v>
      </c>
      <c r="AB70" s="36" t="e">
        <f>IF(VLOOKUP($H70,'How the score is generated (H)'!$B$4:$H$72,4,0)="ü",$S70,0)</f>
        <v>#N/A</v>
      </c>
      <c r="AC70" s="145" t="e">
        <f>IF($N70=0,0,IF(VLOOKUP($H70,'How the score is generated (H)'!$B$4:$H$72,4,0)="ü",2,0))</f>
        <v>#N/A</v>
      </c>
      <c r="AD70" s="35" t="e">
        <f>IF(VLOOKUP($H70,'How the score is generated (H)'!$B$4:$H$72,5,0)="ü",$Q70,0)</f>
        <v>#N/A</v>
      </c>
      <c r="AE70" s="36" t="e">
        <f>IF(VLOOKUP($H70,'How the score is generated (H)'!$B$4:$H$72,5,0)="ü",$S70,0)</f>
        <v>#N/A</v>
      </c>
      <c r="AF70" s="145" t="e">
        <f>IF($N70=0,0,IF(VLOOKUP($H70,'How the score is generated (H)'!$B$4:$H$72,5,0)="ü",2,0))</f>
        <v>#N/A</v>
      </c>
      <c r="AG70" s="35" t="e">
        <f>IF(VLOOKUP($H70,'How the score is generated (H)'!$B$4:$H$72,6,0)="ü",$Q70,0)</f>
        <v>#N/A</v>
      </c>
      <c r="AH70" s="36" t="e">
        <f>IF(VLOOKUP($H70,'How the score is generated (H)'!$B$4:$H$72,6,0)="ü",$S70,0)</f>
        <v>#N/A</v>
      </c>
      <c r="AI70" s="145" t="e">
        <f>IF($N70=0,0,IF(VLOOKUP($H70,'How the score is generated (H)'!$B$4:$H$72,6,0)="ü",2,0))</f>
        <v>#N/A</v>
      </c>
      <c r="AJ70" s="35" t="e">
        <f>IF(VLOOKUP($H70,'How the score is generated (H)'!$B$4:$H$72,7,0)="ü",$Q70,0)</f>
        <v>#N/A</v>
      </c>
      <c r="AK70" s="36" t="e">
        <f>IF(VLOOKUP($H70,'How the score is generated (H)'!$B$4:$H$72,7,0)="ü",$S70,0)</f>
        <v>#N/A</v>
      </c>
      <c r="AL70" s="145" t="e">
        <f>IF($N70=0,0,IF(VLOOKUP($H70,'How the score is generated (H)'!$B$4:$H$72,7,0)="ü",2,0))</f>
        <v>#N/A</v>
      </c>
      <c r="AM70" s="35" t="e">
        <f>IF(VLOOKUP($H70,'How the score is generated (H)'!$B$4:$H$72,8,0)="ü",$Q70,0)</f>
        <v>#N/A</v>
      </c>
      <c r="AN70" s="36" t="e">
        <f>IF(VLOOKUP($H70,'How the score is generated (H)'!$B$4:$H$72,8,0)="ü",$S70,0)</f>
        <v>#N/A</v>
      </c>
      <c r="AO70" s="145" t="e">
        <f>IF($N70=0,0,IF(VLOOKUP($H70,'How the score is generated (H)'!$B$4:$H$72,8,0)="ü",2,0))</f>
        <v>#N/A</v>
      </c>
      <c r="AP70" s="23"/>
      <c r="AQ70" s="35" t="e">
        <f>IF(VLOOKUP($H70,'How the score is generated (P)'!$B$4:$I$72,2,0)="ü",$Q70,0)</f>
        <v>#N/A</v>
      </c>
      <c r="AR70" s="36" t="e">
        <f>IF(VLOOKUP($H70,'How the score is generated (P)'!$B$4:$I$72,2,0)="ü",$S70,0)</f>
        <v>#N/A</v>
      </c>
      <c r="AS70" s="145" t="e">
        <f>IF($N70=0,0,IF(VLOOKUP($H70,'How the score is generated (P)'!$B$4:$I$72,2,0)="ü",2,0))</f>
        <v>#N/A</v>
      </c>
      <c r="AT70" s="35" t="e">
        <f>IF(VLOOKUP($H70,'How the score is generated (P)'!$B$4:$I$72,3,0)="ü",$Q70,0)</f>
        <v>#N/A</v>
      </c>
      <c r="AU70" s="36" t="e">
        <f>IF(VLOOKUP($H70,'How the score is generated (P)'!$B$4:$I$72,3,0)="ü",$S70,0)</f>
        <v>#N/A</v>
      </c>
      <c r="AV70" s="145" t="e">
        <f>IF($N70=0,0,IF(VLOOKUP($H70,'How the score is generated (P)'!$B$4:$I$72,3,0)="ü",2,0))</f>
        <v>#N/A</v>
      </c>
      <c r="AW70" s="35" t="e">
        <f>IF(VLOOKUP($H70,'How the score is generated (P)'!$B$4:$I$72,4,0)="ü",$Q70,0)</f>
        <v>#N/A</v>
      </c>
      <c r="AX70" s="36" t="e">
        <f>IF(VLOOKUP($H70,'How the score is generated (P)'!$B$4:$I$72,4,0)="ü",$S70,0)</f>
        <v>#N/A</v>
      </c>
      <c r="AY70" s="145" t="e">
        <f>IF($N70=0,0,IF(VLOOKUP($H70,'How the score is generated (P)'!$B$4:$I$72,4,0)="ü",2,0))</f>
        <v>#N/A</v>
      </c>
      <c r="AZ70" s="35" t="e">
        <f>IF(VLOOKUP($H70,'How the score is generated (P)'!$B$4:$I$72,5,0)="ü",$Q70,0)</f>
        <v>#N/A</v>
      </c>
      <c r="BA70" s="36" t="e">
        <f>IF(VLOOKUP($H70,'How the score is generated (P)'!$B$4:$I$72,5,0)="ü",$S70,0)</f>
        <v>#N/A</v>
      </c>
      <c r="BB70" s="145" t="e">
        <f>IF($N70=0,0,IF(VLOOKUP($H70,'How the score is generated (P)'!$B$4:$I$72,5,0)="ü",2,0))</f>
        <v>#N/A</v>
      </c>
      <c r="BC70" s="35" t="e">
        <f>IF(VLOOKUP($H70,'How the score is generated (P)'!$B$4:$I$72,6,0)="ü",$Q70,0)</f>
        <v>#N/A</v>
      </c>
      <c r="BD70" s="36" t="e">
        <f>IF(VLOOKUP($H70,'How the score is generated (P)'!$B$4:$I$72,6,0)="ü",$S70,0)</f>
        <v>#N/A</v>
      </c>
      <c r="BE70" s="145" t="e">
        <f>IF($N70=0,0,IF(VLOOKUP($H70,'How the score is generated (P)'!$B$4:$I$72,6,0)="ü",2,0))</f>
        <v>#N/A</v>
      </c>
      <c r="BF70" s="35" t="e">
        <f>IF(VLOOKUP($H70,'How the score is generated (P)'!$B$4:$I$72,7,0)="ü",$Q70,0)</f>
        <v>#N/A</v>
      </c>
      <c r="BG70" s="36" t="e">
        <f>IF(VLOOKUP($H70,'How the score is generated (P)'!$B$4:$I$72,7,0)="ü",$S70,0)</f>
        <v>#N/A</v>
      </c>
      <c r="BH70" s="145" t="e">
        <f>IF($N70=0,0,IF(VLOOKUP($H70,'How the score is generated (P)'!$B$4:$I$72,7,0)="ü",2,0))</f>
        <v>#N/A</v>
      </c>
      <c r="BI70" s="35" t="e">
        <f>IF(VLOOKUP($H70,'How the score is generated (P)'!$B$4:$I$72,8,0)="ü",$Q70,0)</f>
        <v>#N/A</v>
      </c>
      <c r="BJ70" s="36" t="e">
        <f>IF(VLOOKUP($H70,'How the score is generated (P)'!$B$4:$I$72,8,0)="ü",$S70,0)</f>
        <v>#N/A</v>
      </c>
      <c r="BK70" s="145" t="e">
        <f>IF($N70=0,0,IF(VLOOKUP($H70,'How the score is generated (P)'!$B$4:$I$72,8,0)="ü",2,0))</f>
        <v>#N/A</v>
      </c>
      <c r="BL70" s="23"/>
      <c r="BM70" s="201"/>
      <c r="BN70" s="23"/>
      <c r="BO70" s="146"/>
      <c r="BT70" s="34"/>
      <c r="BU70" s="34" t="str">
        <f>IF(BT70="Amber",IF(S70=0,"Residual Amber",""),"")</f>
        <v/>
      </c>
      <c r="BV70" s="34">
        <f>IF(N70=0,"",IF(O70="","",O70))</f>
        <v>0</v>
      </c>
      <c r="BW70" s="34">
        <f t="shared" si="31"/>
        <v>0</v>
      </c>
      <c r="BX70" s="34" t="str">
        <f t="shared" si="32"/>
        <v>46. Bus stop connectivity with other public transport services</v>
      </c>
    </row>
    <row r="71" spans="1:76" ht="15" thickBot="1" x14ac:dyDescent="0.4">
      <c r="A71" s="23"/>
      <c r="B71" s="31"/>
      <c r="C71" s="78"/>
      <c r="D71" s="78"/>
      <c r="E71" s="78"/>
      <c r="F71" s="78"/>
      <c r="G71" s="524" t="s">
        <v>231</v>
      </c>
      <c r="H71" s="654"/>
      <c r="I71" s="654"/>
      <c r="J71" s="654"/>
      <c r="K71" s="654"/>
      <c r="L71" s="654"/>
      <c r="M71" s="654"/>
      <c r="N71" s="79"/>
      <c r="O71" s="79"/>
      <c r="P71" s="80"/>
      <c r="Q71" s="81"/>
      <c r="R71" s="81"/>
      <c r="S71" s="81"/>
      <c r="T71" s="81"/>
      <c r="U71" s="54"/>
      <c r="V71" s="23"/>
      <c r="W71" s="23"/>
      <c r="X71" s="54"/>
      <c r="Y71" s="23"/>
      <c r="Z71" s="23"/>
      <c r="AA71" s="54"/>
      <c r="AB71" s="23"/>
      <c r="AC71" s="23"/>
      <c r="AD71" s="54"/>
      <c r="AE71" s="23"/>
      <c r="AF71" s="23"/>
      <c r="AG71" s="54"/>
      <c r="AH71" s="23"/>
      <c r="AI71" s="23"/>
      <c r="AJ71" s="54"/>
      <c r="AK71" s="23"/>
      <c r="AL71" s="23"/>
      <c r="AM71" s="54"/>
      <c r="AN71" s="23"/>
      <c r="AO71" s="23"/>
      <c r="AP71" s="23"/>
      <c r="AQ71" s="54"/>
      <c r="AR71" s="23"/>
      <c r="AS71" s="23"/>
      <c r="AT71" s="54"/>
      <c r="AU71" s="23"/>
      <c r="AV71" s="23"/>
      <c r="AW71" s="54"/>
      <c r="AX71" s="23"/>
      <c r="AY71" s="23"/>
      <c r="AZ71" s="54"/>
      <c r="BA71" s="23"/>
      <c r="BB71" s="23"/>
      <c r="BC71" s="54"/>
      <c r="BD71" s="23"/>
      <c r="BE71" s="23"/>
      <c r="BF71" s="54"/>
      <c r="BG71" s="23"/>
      <c r="BH71" s="23"/>
      <c r="BI71" s="54"/>
      <c r="BJ71" s="23"/>
      <c r="BK71" s="23"/>
      <c r="BL71" s="23"/>
      <c r="BM71" s="23"/>
      <c r="BN71" s="23"/>
      <c r="BO71" s="23"/>
      <c r="BT71" s="81"/>
      <c r="BU71" s="81"/>
      <c r="BV71" s="81" t="str">
        <f t="shared" ref="BV71:BV88" si="33">IF(N71=0,"",IF(O71="","",O71))</f>
        <v/>
      </c>
      <c r="BW71" s="81" t="str">
        <f t="shared" si="31"/>
        <v/>
      </c>
      <c r="BX71" s="81" t="str">
        <f t="shared" si="32"/>
        <v xml:space="preserve">. </v>
      </c>
    </row>
    <row r="72" spans="1:76" ht="130.5" customHeight="1" thickBot="1" x14ac:dyDescent="0.4">
      <c r="A72" s="23"/>
      <c r="B72" s="64"/>
      <c r="C72" s="84" t="s">
        <v>210</v>
      </c>
      <c r="D72" s="163">
        <f>D70+1</f>
        <v>47</v>
      </c>
      <c r="E72" s="184" t="s">
        <v>43</v>
      </c>
      <c r="F72" s="187" t="s">
        <v>43</v>
      </c>
      <c r="G72" s="173" t="s">
        <v>232</v>
      </c>
      <c r="H72" s="174" t="s">
        <v>233</v>
      </c>
      <c r="I72" s="271"/>
      <c r="J72" s="190"/>
      <c r="K72" s="228" t="s">
        <v>557</v>
      </c>
      <c r="L72" s="192" t="s">
        <v>234</v>
      </c>
      <c r="M72" s="193" t="s">
        <v>519</v>
      </c>
      <c r="N72" s="129">
        <f>IF(Project!$B$27="Off Highway",0,IF(Project!$B$41="Yes",1,0))</f>
        <v>1</v>
      </c>
      <c r="O72" s="237">
        <f>IF(Scoring!O71="A",0,Scoring!O71)</f>
        <v>0</v>
      </c>
      <c r="P72" s="144">
        <f>IF(Scoring!P71="A",0,Scoring!P71)</f>
        <v>0</v>
      </c>
      <c r="Q72" s="129">
        <f t="shared" ref="Q72:Q77" si="34">IF($N72=0,0,O72)</f>
        <v>0</v>
      </c>
      <c r="R72" s="34">
        <f t="shared" ref="R72:R77" si="35">IF($N72=0,0,2)</f>
        <v>2</v>
      </c>
      <c r="S72" s="34">
        <f>IF($N72=0,0,Scoring!P71)</f>
        <v>0</v>
      </c>
      <c r="T72" s="34">
        <f t="shared" ref="T72:T77" si="36">IF($N72=0,0,2)</f>
        <v>2</v>
      </c>
      <c r="U72" s="35" t="e">
        <f>IF(VLOOKUP($H72,'How the score is generated (H)'!$B$4:$H$72,2,0)="ü",$Q72,0)</f>
        <v>#N/A</v>
      </c>
      <c r="V72" s="36" t="e">
        <f>IF(VLOOKUP($H72,'How the score is generated (H)'!$B$4:$H$72,2,0)="ü",$S72,0)</f>
        <v>#N/A</v>
      </c>
      <c r="W72" s="145" t="e">
        <f>IF($N72=0,0,IF(VLOOKUP($H72,'How the score is generated (H)'!$B$4:$H$72,2,0)="ü",2,0))</f>
        <v>#N/A</v>
      </c>
      <c r="X72" s="35" t="e">
        <f>IF(VLOOKUP($H72,'How the score is generated (H)'!$B$4:$H$72,3,0)="ü",$Q72,0)</f>
        <v>#N/A</v>
      </c>
      <c r="Y72" s="36" t="e">
        <f>IF(VLOOKUP($H72,'How the score is generated (H)'!$B$4:$H$72,3,0)="ü",$S72,0)</f>
        <v>#N/A</v>
      </c>
      <c r="Z72" s="145" t="e">
        <f>IF($N72=0,0,IF(VLOOKUP($H72,'How the score is generated (H)'!$B$4:$H$72,3,0)="ü",2,0))</f>
        <v>#N/A</v>
      </c>
      <c r="AA72" s="35" t="e">
        <f>IF(VLOOKUP($H72,'How the score is generated (H)'!$B$4:$H$72,4,0)="ü",$Q72,0)</f>
        <v>#N/A</v>
      </c>
      <c r="AB72" s="36" t="e">
        <f>IF(VLOOKUP($H72,'How the score is generated (H)'!$B$4:$H$72,4,0)="ü",$S72,0)</f>
        <v>#N/A</v>
      </c>
      <c r="AC72" s="145" t="e">
        <f>IF($N72=0,0,IF(VLOOKUP($H72,'How the score is generated (H)'!$B$4:$H$72,4,0)="ü",2,0))</f>
        <v>#N/A</v>
      </c>
      <c r="AD72" s="35" t="e">
        <f>IF(VLOOKUP($H72,'How the score is generated (H)'!$B$4:$H$72,5,0)="ü",$Q72,0)</f>
        <v>#N/A</v>
      </c>
      <c r="AE72" s="36" t="e">
        <f>IF(VLOOKUP($H72,'How the score is generated (H)'!$B$4:$H$72,5,0)="ü",$S72,0)</f>
        <v>#N/A</v>
      </c>
      <c r="AF72" s="145" t="e">
        <f>IF($N72=0,0,IF(VLOOKUP($H72,'How the score is generated (H)'!$B$4:$H$72,5,0)="ü",2,0))</f>
        <v>#N/A</v>
      </c>
      <c r="AG72" s="35" t="e">
        <f>IF(VLOOKUP($H72,'How the score is generated (H)'!$B$4:$H$72,6,0)="ü",$Q72,0)</f>
        <v>#N/A</v>
      </c>
      <c r="AH72" s="36" t="e">
        <f>IF(VLOOKUP($H72,'How the score is generated (H)'!$B$4:$H$72,6,0)="ü",$S72,0)</f>
        <v>#N/A</v>
      </c>
      <c r="AI72" s="145" t="e">
        <f>IF($N72=0,0,IF(VLOOKUP($H72,'How the score is generated (H)'!$B$4:$H$72,6,0)="ü",2,0))</f>
        <v>#N/A</v>
      </c>
      <c r="AJ72" s="35" t="e">
        <f>IF(VLOOKUP($H72,'How the score is generated (H)'!$B$4:$H$72,7,0)="ü",$Q72,0)</f>
        <v>#N/A</v>
      </c>
      <c r="AK72" s="36" t="e">
        <f>IF(VLOOKUP($H72,'How the score is generated (H)'!$B$4:$H$72,7,0)="ü",$S72,0)</f>
        <v>#N/A</v>
      </c>
      <c r="AL72" s="145" t="e">
        <f>IF($N72=0,0,IF(VLOOKUP($H72,'How the score is generated (H)'!$B$4:$H$72,7,0)="ü",2,0))</f>
        <v>#N/A</v>
      </c>
      <c r="AM72" s="35" t="e">
        <f>IF(VLOOKUP($H72,'How the score is generated (H)'!$B$4:$H$72,8,0)="ü",$Q72,0)</f>
        <v>#N/A</v>
      </c>
      <c r="AN72" s="36" t="e">
        <f>IF(VLOOKUP($H72,'How the score is generated (H)'!$B$4:$H$72,8,0)="ü",$S72,0)</f>
        <v>#N/A</v>
      </c>
      <c r="AO72" s="145" t="e">
        <f>IF($N72=0,0,IF(VLOOKUP($H72,'How the score is generated (H)'!$B$4:$H$72,8,0)="ü",2,0))</f>
        <v>#N/A</v>
      </c>
      <c r="AP72" s="23"/>
      <c r="AQ72" s="35" t="e">
        <f>IF(VLOOKUP($H72,'How the score is generated (P)'!$B$4:$I$72,2,0)="ü",$Q72,0)</f>
        <v>#N/A</v>
      </c>
      <c r="AR72" s="36" t="e">
        <f>IF(VLOOKUP($H72,'How the score is generated (P)'!$B$4:$I$72,2,0)="ü",$S72,0)</f>
        <v>#N/A</v>
      </c>
      <c r="AS72" s="145" t="e">
        <f>IF($N72=0,0,IF(VLOOKUP($H72,'How the score is generated (P)'!$B$4:$I$72,2,0)="ü",2,0))</f>
        <v>#N/A</v>
      </c>
      <c r="AT72" s="35" t="e">
        <f>IF(VLOOKUP($H72,'How the score is generated (P)'!$B$4:$I$72,3,0)="ü",$Q72,0)</f>
        <v>#N/A</v>
      </c>
      <c r="AU72" s="36" t="e">
        <f>IF(VLOOKUP($H72,'How the score is generated (P)'!$B$4:$I$72,3,0)="ü",$S72,0)</f>
        <v>#N/A</v>
      </c>
      <c r="AV72" s="145" t="e">
        <f>IF($N72=0,0,IF(VLOOKUP($H72,'How the score is generated (P)'!$B$4:$I$72,3,0)="ü",2,0))</f>
        <v>#N/A</v>
      </c>
      <c r="AW72" s="35" t="e">
        <f>IF(VLOOKUP($H72,'How the score is generated (P)'!$B$4:$I$72,4,0)="ü",$Q72,0)</f>
        <v>#N/A</v>
      </c>
      <c r="AX72" s="36" t="e">
        <f>IF(VLOOKUP($H72,'How the score is generated (P)'!$B$4:$I$72,4,0)="ü",$S72,0)</f>
        <v>#N/A</v>
      </c>
      <c r="AY72" s="145" t="e">
        <f>IF($N72=0,0,IF(VLOOKUP($H72,'How the score is generated (P)'!$B$4:$I$72,4,0)="ü",2,0))</f>
        <v>#N/A</v>
      </c>
      <c r="AZ72" s="35" t="e">
        <f>IF(VLOOKUP($H72,'How the score is generated (P)'!$B$4:$I$72,5,0)="ü",$Q72,0)</f>
        <v>#N/A</v>
      </c>
      <c r="BA72" s="36" t="e">
        <f>IF(VLOOKUP($H72,'How the score is generated (P)'!$B$4:$I$72,5,0)="ü",$S72,0)</f>
        <v>#N/A</v>
      </c>
      <c r="BB72" s="145" t="e">
        <f>IF($N72=0,0,IF(VLOOKUP($H72,'How the score is generated (P)'!$B$4:$I$72,5,0)="ü",2,0))</f>
        <v>#N/A</v>
      </c>
      <c r="BC72" s="35" t="e">
        <f>IF(VLOOKUP($H72,'How the score is generated (P)'!$B$4:$I$72,6,0)="ü",$Q72,0)</f>
        <v>#N/A</v>
      </c>
      <c r="BD72" s="36" t="e">
        <f>IF(VLOOKUP($H72,'How the score is generated (P)'!$B$4:$I$72,6,0)="ü",$S72,0)</f>
        <v>#N/A</v>
      </c>
      <c r="BE72" s="145" t="e">
        <f>IF($N72=0,0,IF(VLOOKUP($H72,'How the score is generated (P)'!$B$4:$I$72,6,0)="ü",2,0))</f>
        <v>#N/A</v>
      </c>
      <c r="BF72" s="35" t="e">
        <f>IF(VLOOKUP($H72,'How the score is generated (P)'!$B$4:$I$72,7,0)="ü",$Q72,0)</f>
        <v>#N/A</v>
      </c>
      <c r="BG72" s="36" t="e">
        <f>IF(VLOOKUP($H72,'How the score is generated (P)'!$B$4:$I$72,7,0)="ü",$S72,0)</f>
        <v>#N/A</v>
      </c>
      <c r="BH72" s="145" t="e">
        <f>IF($N72=0,0,IF(VLOOKUP($H72,'How the score is generated (P)'!$B$4:$I$72,7,0)="ü",2,0))</f>
        <v>#N/A</v>
      </c>
      <c r="BI72" s="35" t="e">
        <f>IF(VLOOKUP($H72,'How the score is generated (P)'!$B$4:$I$72,8,0)="ü",$Q72,0)</f>
        <v>#N/A</v>
      </c>
      <c r="BJ72" s="36" t="e">
        <f>IF(VLOOKUP($H72,'How the score is generated (P)'!$B$4:$I$72,8,0)="ü",$S72,0)</f>
        <v>#N/A</v>
      </c>
      <c r="BK72" s="145" t="e">
        <f>IF($N72=0,0,IF(VLOOKUP($H72,'How the score is generated (P)'!$B$4:$I$72,8,0)="ü",2,0))</f>
        <v>#N/A</v>
      </c>
      <c r="BL72" s="23"/>
      <c r="BM72" s="201"/>
      <c r="BN72" s="23"/>
      <c r="BO72" s="146"/>
      <c r="BT72" s="34" t="s">
        <v>177</v>
      </c>
      <c r="BU72" s="34" t="str">
        <f t="shared" ref="BU72:BU80" si="37">IF(BT72="Amber",IF(S72=0,"Residual Amber",""),"")</f>
        <v>Residual Amber</v>
      </c>
      <c r="BV72" s="34">
        <f t="shared" si="33"/>
        <v>0</v>
      </c>
      <c r="BW72" s="34">
        <f t="shared" si="31"/>
        <v>0</v>
      </c>
      <c r="BX72" s="34" t="str">
        <f t="shared" si="32"/>
        <v>47. Factors influencing bus passenger journey time and reliability</v>
      </c>
    </row>
    <row r="73" spans="1:76" ht="324" customHeight="1" thickBot="1" x14ac:dyDescent="0.4">
      <c r="A73" s="23"/>
      <c r="B73" s="64"/>
      <c r="C73" s="181" t="s">
        <v>210</v>
      </c>
      <c r="D73" s="164">
        <f>D72+1</f>
        <v>48</v>
      </c>
      <c r="E73" s="38" t="s">
        <v>43</v>
      </c>
      <c r="F73" s="198" t="s">
        <v>43</v>
      </c>
      <c r="G73" s="39" t="s">
        <v>235</v>
      </c>
      <c r="H73" s="41" t="s">
        <v>235</v>
      </c>
      <c r="I73" s="272"/>
      <c r="J73" s="40" t="s">
        <v>515</v>
      </c>
      <c r="K73" s="41" t="s">
        <v>516</v>
      </c>
      <c r="L73" s="41" t="s">
        <v>517</v>
      </c>
      <c r="M73" s="41" t="s">
        <v>518</v>
      </c>
      <c r="N73" s="129">
        <f>IF(Project!$B$27="Off Highway",0,IF(Project!$B$41="Yes",1,0))</f>
        <v>1</v>
      </c>
      <c r="O73" s="237">
        <f>IF(Scoring!O72="A",0,Scoring!O72)</f>
        <v>0</v>
      </c>
      <c r="P73" s="144">
        <f>IF(Scoring!P72="A",0,Scoring!P72)</f>
        <v>0</v>
      </c>
      <c r="Q73" s="129">
        <f t="shared" si="34"/>
        <v>0</v>
      </c>
      <c r="R73" s="34">
        <f t="shared" si="35"/>
        <v>2</v>
      </c>
      <c r="S73" s="34">
        <f>IF($N73=0,0,Scoring!P72)</f>
        <v>0</v>
      </c>
      <c r="T73" s="34">
        <f t="shared" si="36"/>
        <v>2</v>
      </c>
      <c r="U73" s="35" t="e">
        <f>IF(VLOOKUP($H73,'How the score is generated (H)'!$B$4:$H$72,2,0)="ü",$Q73,0)</f>
        <v>#N/A</v>
      </c>
      <c r="V73" s="36" t="e">
        <f>IF(VLOOKUP($H73,'How the score is generated (H)'!$B$4:$H$72,2,0)="ü",$S73,0)</f>
        <v>#N/A</v>
      </c>
      <c r="W73" s="145" t="e">
        <f>IF($N73=0,0,IF(VLOOKUP($H73,'How the score is generated (H)'!$B$4:$H$72,2,0)="ü",2,0))</f>
        <v>#N/A</v>
      </c>
      <c r="X73" s="35" t="e">
        <f>IF(VLOOKUP($H73,'How the score is generated (H)'!$B$4:$H$72,3,0)="ü",$Q73,0)</f>
        <v>#N/A</v>
      </c>
      <c r="Y73" s="36" t="e">
        <f>IF(VLOOKUP($H73,'How the score is generated (H)'!$B$4:$H$72,3,0)="ü",$S73,0)</f>
        <v>#N/A</v>
      </c>
      <c r="Z73" s="145" t="e">
        <f>IF($N73=0,0,IF(VLOOKUP($H73,'How the score is generated (H)'!$B$4:$H$72,3,0)="ü",2,0))</f>
        <v>#N/A</v>
      </c>
      <c r="AA73" s="35" t="e">
        <f>IF(VLOOKUP($H73,'How the score is generated (H)'!$B$4:$H$72,4,0)="ü",$Q73,0)</f>
        <v>#N/A</v>
      </c>
      <c r="AB73" s="36" t="e">
        <f>IF(VLOOKUP($H73,'How the score is generated (H)'!$B$4:$H$72,4,0)="ü",$S73,0)</f>
        <v>#N/A</v>
      </c>
      <c r="AC73" s="145" t="e">
        <f>IF($N73=0,0,IF(VLOOKUP($H73,'How the score is generated (H)'!$B$4:$H$72,4,0)="ü",2,0))</f>
        <v>#N/A</v>
      </c>
      <c r="AD73" s="35" t="e">
        <f>IF(VLOOKUP($H73,'How the score is generated (H)'!$B$4:$H$72,5,0)="ü",$Q73,0)</f>
        <v>#N/A</v>
      </c>
      <c r="AE73" s="36" t="e">
        <f>IF(VLOOKUP($H73,'How the score is generated (H)'!$B$4:$H$72,5,0)="ü",$S73,0)</f>
        <v>#N/A</v>
      </c>
      <c r="AF73" s="145" t="e">
        <f>IF($N73=0,0,IF(VLOOKUP($H73,'How the score is generated (H)'!$B$4:$H$72,5,0)="ü",2,0))</f>
        <v>#N/A</v>
      </c>
      <c r="AG73" s="35" t="e">
        <f>IF(VLOOKUP($H73,'How the score is generated (H)'!$B$4:$H$72,6,0)="ü",$Q73,0)</f>
        <v>#N/A</v>
      </c>
      <c r="AH73" s="36" t="e">
        <f>IF(VLOOKUP($H73,'How the score is generated (H)'!$B$4:$H$72,6,0)="ü",$S73,0)</f>
        <v>#N/A</v>
      </c>
      <c r="AI73" s="145" t="e">
        <f>IF($N73=0,0,IF(VLOOKUP($H73,'How the score is generated (H)'!$B$4:$H$72,6,0)="ü",2,0))</f>
        <v>#N/A</v>
      </c>
      <c r="AJ73" s="35" t="e">
        <f>IF(VLOOKUP($H73,'How the score is generated (H)'!$B$4:$H$72,7,0)="ü",$Q73,0)</f>
        <v>#N/A</v>
      </c>
      <c r="AK73" s="36" t="e">
        <f>IF(VLOOKUP($H73,'How the score is generated (H)'!$B$4:$H$72,7,0)="ü",$S73,0)</f>
        <v>#N/A</v>
      </c>
      <c r="AL73" s="145" t="e">
        <f>IF($N73=0,0,IF(VLOOKUP($H73,'How the score is generated (H)'!$B$4:$H$72,7,0)="ü",2,0))</f>
        <v>#N/A</v>
      </c>
      <c r="AM73" s="35" t="e">
        <f>IF(VLOOKUP($H73,'How the score is generated (H)'!$B$4:$H$72,8,0)="ü",$Q73,0)</f>
        <v>#N/A</v>
      </c>
      <c r="AN73" s="36" t="e">
        <f>IF(VLOOKUP($H73,'How the score is generated (H)'!$B$4:$H$72,8,0)="ü",$S73,0)</f>
        <v>#N/A</v>
      </c>
      <c r="AO73" s="145" t="e">
        <f>IF($N73=0,0,IF(VLOOKUP($H73,'How the score is generated (H)'!$B$4:$H$72,8,0)="ü",2,0))</f>
        <v>#N/A</v>
      </c>
      <c r="AP73" s="23"/>
      <c r="AQ73" s="35" t="e">
        <f>IF(VLOOKUP($H73,'How the score is generated (P)'!$B$4:$I$72,2,0)="ü",$Q73,0)</f>
        <v>#N/A</v>
      </c>
      <c r="AR73" s="36" t="e">
        <f>IF(VLOOKUP($H73,'How the score is generated (P)'!$B$4:$I$72,2,0)="ü",$S73,0)</f>
        <v>#N/A</v>
      </c>
      <c r="AS73" s="145" t="e">
        <f>IF($N73=0,0,IF(VLOOKUP($H73,'How the score is generated (P)'!$B$4:$I$72,2,0)="ü",2,0))</f>
        <v>#N/A</v>
      </c>
      <c r="AT73" s="35" t="e">
        <f>IF(VLOOKUP($H73,'How the score is generated (P)'!$B$4:$I$72,3,0)="ü",$Q73,0)</f>
        <v>#N/A</v>
      </c>
      <c r="AU73" s="36" t="e">
        <f>IF(VLOOKUP($H73,'How the score is generated (P)'!$B$4:$I$72,3,0)="ü",$S73,0)</f>
        <v>#N/A</v>
      </c>
      <c r="AV73" s="145" t="e">
        <f>IF($N73=0,0,IF(VLOOKUP($H73,'How the score is generated (P)'!$B$4:$I$72,3,0)="ü",2,0))</f>
        <v>#N/A</v>
      </c>
      <c r="AW73" s="35" t="e">
        <f>IF(VLOOKUP($H73,'How the score is generated (P)'!$B$4:$I$72,4,0)="ü",$Q73,0)</f>
        <v>#N/A</v>
      </c>
      <c r="AX73" s="36" t="e">
        <f>IF(VLOOKUP($H73,'How the score is generated (P)'!$B$4:$I$72,4,0)="ü",$S73,0)</f>
        <v>#N/A</v>
      </c>
      <c r="AY73" s="145" t="e">
        <f>IF($N73=0,0,IF(VLOOKUP($H73,'How the score is generated (P)'!$B$4:$I$72,4,0)="ü",2,0))</f>
        <v>#N/A</v>
      </c>
      <c r="AZ73" s="35" t="e">
        <f>IF(VLOOKUP($H73,'How the score is generated (P)'!$B$4:$I$72,5,0)="ü",$Q73,0)</f>
        <v>#N/A</v>
      </c>
      <c r="BA73" s="36" t="e">
        <f>IF(VLOOKUP($H73,'How the score is generated (P)'!$B$4:$I$72,5,0)="ü",$S73,0)</f>
        <v>#N/A</v>
      </c>
      <c r="BB73" s="145" t="e">
        <f>IF($N73=0,0,IF(VLOOKUP($H73,'How the score is generated (P)'!$B$4:$I$72,5,0)="ü",2,0))</f>
        <v>#N/A</v>
      </c>
      <c r="BC73" s="35" t="e">
        <f>IF(VLOOKUP($H73,'How the score is generated (P)'!$B$4:$I$72,6,0)="ü",$Q73,0)</f>
        <v>#N/A</v>
      </c>
      <c r="BD73" s="36" t="e">
        <f>IF(VLOOKUP($H73,'How the score is generated (P)'!$B$4:$I$72,6,0)="ü",$S73,0)</f>
        <v>#N/A</v>
      </c>
      <c r="BE73" s="145" t="e">
        <f>IF($N73=0,0,IF(VLOOKUP($H73,'How the score is generated (P)'!$B$4:$I$72,6,0)="ü",2,0))</f>
        <v>#N/A</v>
      </c>
      <c r="BF73" s="35" t="e">
        <f>IF(VLOOKUP($H73,'How the score is generated (P)'!$B$4:$I$72,7,0)="ü",$Q73,0)</f>
        <v>#N/A</v>
      </c>
      <c r="BG73" s="36" t="e">
        <f>IF(VLOOKUP($H73,'How the score is generated (P)'!$B$4:$I$72,7,0)="ü",$S73,0)</f>
        <v>#N/A</v>
      </c>
      <c r="BH73" s="145" t="e">
        <f>IF($N73=0,0,IF(VLOOKUP($H73,'How the score is generated (P)'!$B$4:$I$72,7,0)="ü",2,0))</f>
        <v>#N/A</v>
      </c>
      <c r="BI73" s="35" t="e">
        <f>IF(VLOOKUP($H73,'How the score is generated (P)'!$B$4:$I$72,8,0)="ü",$Q73,0)</f>
        <v>#N/A</v>
      </c>
      <c r="BJ73" s="36" t="e">
        <f>IF(VLOOKUP($H73,'How the score is generated (P)'!$B$4:$I$72,8,0)="ü",$S73,0)</f>
        <v>#N/A</v>
      </c>
      <c r="BK73" s="145" t="e">
        <f>IF($N73=0,0,IF(VLOOKUP($H73,'How the score is generated (P)'!$B$4:$I$72,8,0)="ü",2,0))</f>
        <v>#N/A</v>
      </c>
      <c r="BL73" s="23"/>
      <c r="BM73" s="201"/>
      <c r="BN73" s="23"/>
      <c r="BO73" s="146"/>
      <c r="BT73" s="34"/>
      <c r="BU73" s="34" t="str">
        <f t="shared" si="37"/>
        <v/>
      </c>
      <c r="BV73" s="34">
        <f t="shared" si="33"/>
        <v>0</v>
      </c>
      <c r="BW73" s="34">
        <f t="shared" si="31"/>
        <v>0</v>
      </c>
      <c r="BX73" s="34" t="str">
        <f t="shared" si="32"/>
        <v>48. Bus stop accessibility</v>
      </c>
    </row>
    <row r="74" spans="1:76" ht="191.25" customHeight="1" thickBot="1" x14ac:dyDescent="0.4">
      <c r="A74" s="23"/>
      <c r="B74" s="64"/>
      <c r="C74" s="181" t="s">
        <v>210</v>
      </c>
      <c r="D74" s="164">
        <f>D73+1</f>
        <v>49</v>
      </c>
      <c r="E74" s="182" t="s">
        <v>43</v>
      </c>
      <c r="F74" s="186" t="s">
        <v>43</v>
      </c>
      <c r="G74" s="39" t="s">
        <v>236</v>
      </c>
      <c r="H74" s="41" t="s">
        <v>237</v>
      </c>
      <c r="I74" s="272"/>
      <c r="J74" s="45"/>
      <c r="K74" s="227" t="s">
        <v>455</v>
      </c>
      <c r="L74" s="189" t="s">
        <v>238</v>
      </c>
      <c r="M74" s="191" t="s">
        <v>239</v>
      </c>
      <c r="N74" s="129">
        <f>IF(Project!$B$27="Off Highway",0,IF(Project!$B$41="Yes",1,0))</f>
        <v>1</v>
      </c>
      <c r="O74" s="237">
        <f>IF(Scoring!O73="A",0,Scoring!O73)</f>
        <v>0</v>
      </c>
      <c r="P74" s="144">
        <f>IF(Scoring!P73="A",0,Scoring!P73)</f>
        <v>0</v>
      </c>
      <c r="Q74" s="129">
        <f t="shared" si="34"/>
        <v>0</v>
      </c>
      <c r="R74" s="34">
        <f t="shared" si="35"/>
        <v>2</v>
      </c>
      <c r="S74" s="34">
        <f>IF($N74=0,0,Scoring!P73)</f>
        <v>0</v>
      </c>
      <c r="T74" s="34">
        <f t="shared" si="36"/>
        <v>2</v>
      </c>
      <c r="U74" s="35">
        <f>IF(VLOOKUP($H74,'How the score is generated (H)'!$B$4:$H$72,2,0)="ü",$Q74,0)</f>
        <v>0</v>
      </c>
      <c r="V74" s="36">
        <f>IF(VLOOKUP($H74,'How the score is generated (H)'!$B$4:$H$72,2,0)="ü",$S74,0)</f>
        <v>0</v>
      </c>
      <c r="W74" s="145">
        <f>IF($N74=0,0,IF(VLOOKUP($H74,'How the score is generated (H)'!$B$4:$H$72,2,0)="ü",2,0))</f>
        <v>2</v>
      </c>
      <c r="X74" s="35">
        <f>IF(VLOOKUP($H74,'How the score is generated (H)'!$B$4:$H$72,3,0)="ü",$Q74,0)</f>
        <v>0</v>
      </c>
      <c r="Y74" s="36">
        <f>IF(VLOOKUP($H74,'How the score is generated (H)'!$B$4:$H$72,3,0)="ü",$S74,0)</f>
        <v>0</v>
      </c>
      <c r="Z74" s="145">
        <f>IF($N74=0,0,IF(VLOOKUP($H74,'How the score is generated (H)'!$B$4:$H$72,3,0)="ü",2,0))</f>
        <v>2</v>
      </c>
      <c r="AA74" s="35">
        <f>IF(VLOOKUP($H74,'How the score is generated (H)'!$B$4:$H$72,4,0)="ü",$Q74,0)</f>
        <v>0</v>
      </c>
      <c r="AB74" s="36">
        <f>IF(VLOOKUP($H74,'How the score is generated (H)'!$B$4:$H$72,4,0)="ü",$S74,0)</f>
        <v>0</v>
      </c>
      <c r="AC74" s="145">
        <f>IF($N74=0,0,IF(VLOOKUP($H74,'How the score is generated (H)'!$B$4:$H$72,4,0)="ü",2,0))</f>
        <v>0</v>
      </c>
      <c r="AD74" s="35">
        <f>IF(VLOOKUP($H74,'How the score is generated (H)'!$B$4:$H$72,5,0)="ü",$Q74,0)</f>
        <v>0</v>
      </c>
      <c r="AE74" s="36">
        <f>IF(VLOOKUP($H74,'How the score is generated (H)'!$B$4:$H$72,5,0)="ü",$S74,0)</f>
        <v>0</v>
      </c>
      <c r="AF74" s="145">
        <f>IF($N74=0,0,IF(VLOOKUP($H74,'How the score is generated (H)'!$B$4:$H$72,5,0)="ü",2,0))</f>
        <v>2</v>
      </c>
      <c r="AG74" s="35">
        <f>IF(VLOOKUP($H74,'How the score is generated (H)'!$B$4:$H$72,6,0)="ü",$Q74,0)</f>
        <v>0</v>
      </c>
      <c r="AH74" s="36">
        <f>IF(VLOOKUP($H74,'How the score is generated (H)'!$B$4:$H$72,6,0)="ü",$S74,0)</f>
        <v>0</v>
      </c>
      <c r="AI74" s="145">
        <f>IF($N74=0,0,IF(VLOOKUP($H74,'How the score is generated (H)'!$B$4:$H$72,6,0)="ü",2,0))</f>
        <v>2</v>
      </c>
      <c r="AJ74" s="35">
        <f>IF(VLOOKUP($H74,'How the score is generated (H)'!$B$4:$H$72,7,0)="ü",$Q74,0)</f>
        <v>0</v>
      </c>
      <c r="AK74" s="36">
        <f>IF(VLOOKUP($H74,'How the score is generated (H)'!$B$4:$H$72,7,0)="ü",$S74,0)</f>
        <v>0</v>
      </c>
      <c r="AL74" s="145">
        <f>IF($N74=0,0,IF(VLOOKUP($H74,'How the score is generated (H)'!$B$4:$H$72,7,0)="ü",2,0))</f>
        <v>0</v>
      </c>
      <c r="AM74" s="35" t="e">
        <f>IF(VLOOKUP($H74,'How the score is generated (H)'!$B$4:$H$72,8,0)="ü",$Q74,0)</f>
        <v>#REF!</v>
      </c>
      <c r="AN74" s="36" t="e">
        <f>IF(VLOOKUP($H74,'How the score is generated (H)'!$B$4:$H$72,8,0)="ü",$S74,0)</f>
        <v>#REF!</v>
      </c>
      <c r="AO74" s="145" t="e">
        <f>IF($N74=0,0,IF(VLOOKUP($H74,'How the score is generated (H)'!$B$4:$H$72,8,0)="ü",2,0))</f>
        <v>#REF!</v>
      </c>
      <c r="AP74" s="23"/>
      <c r="AQ74" s="35">
        <f>IF(VLOOKUP($H74,'How the score is generated (P)'!$B$4:$I$72,2,0)="ü",$Q74,0)</f>
        <v>0</v>
      </c>
      <c r="AR74" s="36">
        <f>IF(VLOOKUP($H74,'How the score is generated (P)'!$B$4:$I$72,2,0)="ü",$S74,0)</f>
        <v>0</v>
      </c>
      <c r="AS74" s="145">
        <f>IF($N74=0,0,IF(VLOOKUP($H74,'How the score is generated (P)'!$B$4:$I$72,2,0)="ü",2,0))</f>
        <v>0</v>
      </c>
      <c r="AT74" s="35">
        <f>IF(VLOOKUP($H74,'How the score is generated (P)'!$B$4:$I$72,3,0)="ü",$Q74,0)</f>
        <v>0</v>
      </c>
      <c r="AU74" s="36">
        <f>IF(VLOOKUP($H74,'How the score is generated (P)'!$B$4:$I$72,3,0)="ü",$S74,0)</f>
        <v>0</v>
      </c>
      <c r="AV74" s="145">
        <f>IF($N74=0,0,IF(VLOOKUP($H74,'How the score is generated (P)'!$B$4:$I$72,3,0)="ü",2,0))</f>
        <v>0</v>
      </c>
      <c r="AW74" s="35">
        <f>IF(VLOOKUP($H74,'How the score is generated (P)'!$B$4:$I$72,4,0)="ü",$Q74,0)</f>
        <v>0</v>
      </c>
      <c r="AX74" s="36">
        <f>IF(VLOOKUP($H74,'How the score is generated (P)'!$B$4:$I$72,4,0)="ü",$S74,0)</f>
        <v>0</v>
      </c>
      <c r="AY74" s="145">
        <f>IF($N74=0,0,IF(VLOOKUP($H74,'How the score is generated (P)'!$B$4:$I$72,4,0)="ü",2,0))</f>
        <v>2</v>
      </c>
      <c r="AZ74" s="35">
        <f>IF(VLOOKUP($H74,'How the score is generated (P)'!$B$4:$I$72,5,0)="ü",$Q74,0)</f>
        <v>0</v>
      </c>
      <c r="BA74" s="36">
        <f>IF(VLOOKUP($H74,'How the score is generated (P)'!$B$4:$I$72,5,0)="ü",$S74,0)</f>
        <v>0</v>
      </c>
      <c r="BB74" s="145">
        <f>IF($N74=0,0,IF(VLOOKUP($H74,'How the score is generated (P)'!$B$4:$I$72,5,0)="ü",2,0))</f>
        <v>2</v>
      </c>
      <c r="BC74" s="35">
        <f>IF(VLOOKUP($H74,'How the score is generated (P)'!$B$4:$I$72,6,0)="ü",$Q74,0)</f>
        <v>0</v>
      </c>
      <c r="BD74" s="36">
        <f>IF(VLOOKUP($H74,'How the score is generated (P)'!$B$4:$I$72,6,0)="ü",$S74,0)</f>
        <v>0</v>
      </c>
      <c r="BE74" s="145">
        <f>IF($N74=0,0,IF(VLOOKUP($H74,'How the score is generated (P)'!$B$4:$I$72,6,0)="ü",2,0))</f>
        <v>2</v>
      </c>
      <c r="BF74" s="35">
        <f>IF(VLOOKUP($H74,'How the score is generated (P)'!$B$4:$I$72,7,0)="ü",$Q74,0)</f>
        <v>0</v>
      </c>
      <c r="BG74" s="36">
        <f>IF(VLOOKUP($H74,'How the score is generated (P)'!$B$4:$I$72,7,0)="ü",$S74,0)</f>
        <v>0</v>
      </c>
      <c r="BH74" s="145">
        <f>IF($N74=0,0,IF(VLOOKUP($H74,'How the score is generated (P)'!$B$4:$I$72,7,0)="ü",2,0))</f>
        <v>2</v>
      </c>
      <c r="BI74" s="35">
        <f>IF(VLOOKUP($H74,'How the score is generated (P)'!$B$4:$I$72,8,0)="ü",$Q74,0)</f>
        <v>0</v>
      </c>
      <c r="BJ74" s="36">
        <f>IF(VLOOKUP($H74,'How the score is generated (P)'!$B$4:$I$72,8,0)="ü",$S74,0)</f>
        <v>0</v>
      </c>
      <c r="BK74" s="145">
        <f>IF($N74=0,0,IF(VLOOKUP($H74,'How the score is generated (P)'!$B$4:$I$72,8,0)="ü",2,0))</f>
        <v>2</v>
      </c>
      <c r="BL74" s="23"/>
      <c r="BM74" s="201"/>
      <c r="BN74" s="23"/>
      <c r="BO74" s="146"/>
      <c r="BT74" s="34" t="s">
        <v>177</v>
      </c>
      <c r="BU74" s="34" t="str">
        <f t="shared" si="37"/>
        <v>Residual Amber</v>
      </c>
      <c r="BV74" s="34">
        <f t="shared" si="33"/>
        <v>0</v>
      </c>
      <c r="BW74" s="34">
        <f t="shared" si="31"/>
        <v>0</v>
      </c>
      <c r="BX74" s="34" t="str">
        <f t="shared" si="32"/>
        <v>49. Waiting space, shelter and seating at bus stop</v>
      </c>
    </row>
    <row r="75" spans="1:76" ht="86.15" customHeight="1" thickBot="1" x14ac:dyDescent="0.4">
      <c r="A75" s="23"/>
      <c r="B75" s="64"/>
      <c r="C75" s="181" t="s">
        <v>210</v>
      </c>
      <c r="D75" s="164">
        <f>D74+1</f>
        <v>50</v>
      </c>
      <c r="E75" s="182" t="s">
        <v>43</v>
      </c>
      <c r="F75" s="186" t="s">
        <v>43</v>
      </c>
      <c r="G75" s="39" t="s">
        <v>236</v>
      </c>
      <c r="H75" s="41" t="s">
        <v>240</v>
      </c>
      <c r="I75" s="272"/>
      <c r="J75" s="45"/>
      <c r="K75" s="227" t="s">
        <v>454</v>
      </c>
      <c r="L75" s="189" t="s">
        <v>241</v>
      </c>
      <c r="M75" s="191" t="s">
        <v>242</v>
      </c>
      <c r="N75" s="129">
        <f>IF(Project!$B$27="Off Highway",0,IF(Project!$B$41="Yes",1,0))</f>
        <v>1</v>
      </c>
      <c r="O75" s="237">
        <f>IF(Scoring!O74="A",0,Scoring!O74)</f>
        <v>0</v>
      </c>
      <c r="P75" s="144">
        <f>IF(Scoring!P74="A",0,Scoring!P74)</f>
        <v>0</v>
      </c>
      <c r="Q75" s="129">
        <f t="shared" si="34"/>
        <v>0</v>
      </c>
      <c r="R75" s="34">
        <f t="shared" si="35"/>
        <v>2</v>
      </c>
      <c r="S75" s="34">
        <f>IF($N75=0,0,Scoring!P74)</f>
        <v>0</v>
      </c>
      <c r="T75" s="34">
        <f t="shared" si="36"/>
        <v>2</v>
      </c>
      <c r="U75" s="35">
        <f>IF(VLOOKUP($H75,'How the score is generated (H)'!$B$4:$H$72,2,0)="ü",$Q75,0)</f>
        <v>0</v>
      </c>
      <c r="V75" s="36">
        <f>IF(VLOOKUP($H75,'How the score is generated (H)'!$B$4:$H$72,2,0)="ü",$S75,0)</f>
        <v>0</v>
      </c>
      <c r="W75" s="145">
        <f>IF($N75=0,0,IF(VLOOKUP($H75,'How the score is generated (H)'!$B$4:$H$72,2,0)="ü",2,0))</f>
        <v>2</v>
      </c>
      <c r="X75" s="35">
        <f>IF(VLOOKUP($H75,'How the score is generated (H)'!$B$4:$H$72,3,0)="ü",$Q75,0)</f>
        <v>0</v>
      </c>
      <c r="Y75" s="36">
        <f>IF(VLOOKUP($H75,'How the score is generated (H)'!$B$4:$H$72,3,0)="ü",$S75,0)</f>
        <v>0</v>
      </c>
      <c r="Z75" s="145">
        <f>IF($N75=0,0,IF(VLOOKUP($H75,'How the score is generated (H)'!$B$4:$H$72,3,0)="ü",2,0))</f>
        <v>2</v>
      </c>
      <c r="AA75" s="35">
        <f>IF(VLOOKUP($H75,'How the score is generated (H)'!$B$4:$H$72,4,0)="ü",$Q75,0)</f>
        <v>0</v>
      </c>
      <c r="AB75" s="36">
        <f>IF(VLOOKUP($H75,'How the score is generated (H)'!$B$4:$H$72,4,0)="ü",$S75,0)</f>
        <v>0</v>
      </c>
      <c r="AC75" s="145">
        <f>IF($N75=0,0,IF(VLOOKUP($H75,'How the score is generated (H)'!$B$4:$H$72,4,0)="ü",2,0))</f>
        <v>0</v>
      </c>
      <c r="AD75" s="35">
        <f>IF(VLOOKUP($H75,'How the score is generated (H)'!$B$4:$H$72,5,0)="ü",$Q75,0)</f>
        <v>0</v>
      </c>
      <c r="AE75" s="36">
        <f>IF(VLOOKUP($H75,'How the score is generated (H)'!$B$4:$H$72,5,0)="ü",$S75,0)</f>
        <v>0</v>
      </c>
      <c r="AF75" s="145">
        <f>IF($N75=0,0,IF(VLOOKUP($H75,'How the score is generated (H)'!$B$4:$H$72,5,0)="ü",2,0))</f>
        <v>2</v>
      </c>
      <c r="AG75" s="35">
        <f>IF(VLOOKUP($H75,'How the score is generated (H)'!$B$4:$H$72,6,0)="ü",$Q75,0)</f>
        <v>0</v>
      </c>
      <c r="AH75" s="36">
        <f>IF(VLOOKUP($H75,'How the score is generated (H)'!$B$4:$H$72,6,0)="ü",$S75,0)</f>
        <v>0</v>
      </c>
      <c r="AI75" s="145">
        <f>IF($N75=0,0,IF(VLOOKUP($H75,'How the score is generated (H)'!$B$4:$H$72,6,0)="ü",2,0))</f>
        <v>2</v>
      </c>
      <c r="AJ75" s="35">
        <f>IF(VLOOKUP($H75,'How the score is generated (H)'!$B$4:$H$72,7,0)="ü",$Q75,0)</f>
        <v>0</v>
      </c>
      <c r="AK75" s="36">
        <f>IF(VLOOKUP($H75,'How the score is generated (H)'!$B$4:$H$72,7,0)="ü",$S75,0)</f>
        <v>0</v>
      </c>
      <c r="AL75" s="145">
        <f>IF($N75=0,0,IF(VLOOKUP($H75,'How the score is generated (H)'!$B$4:$H$72,7,0)="ü",2,0))</f>
        <v>0</v>
      </c>
      <c r="AM75" s="35" t="e">
        <f>IF(VLOOKUP($H75,'How the score is generated (H)'!$B$4:$H$72,8,0)="ü",$Q75,0)</f>
        <v>#REF!</v>
      </c>
      <c r="AN75" s="36" t="e">
        <f>IF(VLOOKUP($H75,'How the score is generated (H)'!$B$4:$H$72,8,0)="ü",$S75,0)</f>
        <v>#REF!</v>
      </c>
      <c r="AO75" s="145" t="e">
        <f>IF($N75=0,0,IF(VLOOKUP($H75,'How the score is generated (H)'!$B$4:$H$72,8,0)="ü",2,0))</f>
        <v>#REF!</v>
      </c>
      <c r="AP75" s="23"/>
      <c r="AQ75" s="35">
        <f>IF(VLOOKUP($H75,'How the score is generated (P)'!$B$4:$I$72,2,0)="ü",$Q75,0)</f>
        <v>0</v>
      </c>
      <c r="AR75" s="36">
        <f>IF(VLOOKUP($H75,'How the score is generated (P)'!$B$4:$I$72,2,0)="ü",$S75,0)</f>
        <v>0</v>
      </c>
      <c r="AS75" s="145">
        <f>IF($N75=0,0,IF(VLOOKUP($H75,'How the score is generated (P)'!$B$4:$I$72,2,0)="ü",2,0))</f>
        <v>0</v>
      </c>
      <c r="AT75" s="35">
        <f>IF(VLOOKUP($H75,'How the score is generated (P)'!$B$4:$I$72,3,0)="ü",$Q75,0)</f>
        <v>0</v>
      </c>
      <c r="AU75" s="36">
        <f>IF(VLOOKUP($H75,'How the score is generated (P)'!$B$4:$I$72,3,0)="ü",$S75,0)</f>
        <v>0</v>
      </c>
      <c r="AV75" s="145">
        <f>IF($N75=0,0,IF(VLOOKUP($H75,'How the score is generated (P)'!$B$4:$I$72,3,0)="ü",2,0))</f>
        <v>0</v>
      </c>
      <c r="AW75" s="35">
        <f>IF(VLOOKUP($H75,'How the score is generated (P)'!$B$4:$I$72,4,0)="ü",$Q75,0)</f>
        <v>0</v>
      </c>
      <c r="AX75" s="36">
        <f>IF(VLOOKUP($H75,'How the score is generated (P)'!$B$4:$I$72,4,0)="ü",$S75,0)</f>
        <v>0</v>
      </c>
      <c r="AY75" s="145">
        <f>IF($N75=0,0,IF(VLOOKUP($H75,'How the score is generated (P)'!$B$4:$I$72,4,0)="ü",2,0))</f>
        <v>2</v>
      </c>
      <c r="AZ75" s="35">
        <f>IF(VLOOKUP($H75,'How the score is generated (P)'!$B$4:$I$72,5,0)="ü",$Q75,0)</f>
        <v>0</v>
      </c>
      <c r="BA75" s="36">
        <f>IF(VLOOKUP($H75,'How the score is generated (P)'!$B$4:$I$72,5,0)="ü",$S75,0)</f>
        <v>0</v>
      </c>
      <c r="BB75" s="145">
        <f>IF($N75=0,0,IF(VLOOKUP($H75,'How the score is generated (P)'!$B$4:$I$72,5,0)="ü",2,0))</f>
        <v>2</v>
      </c>
      <c r="BC75" s="35">
        <f>IF(VLOOKUP($H75,'How the score is generated (P)'!$B$4:$I$72,6,0)="ü",$Q75,0)</f>
        <v>0</v>
      </c>
      <c r="BD75" s="36">
        <f>IF(VLOOKUP($H75,'How the score is generated (P)'!$B$4:$I$72,6,0)="ü",$S75,0)</f>
        <v>0</v>
      </c>
      <c r="BE75" s="145">
        <f>IF($N75=0,0,IF(VLOOKUP($H75,'How the score is generated (P)'!$B$4:$I$72,6,0)="ü",2,0))</f>
        <v>2</v>
      </c>
      <c r="BF75" s="35">
        <f>IF(VLOOKUP($H75,'How the score is generated (P)'!$B$4:$I$72,7,0)="ü",$Q75,0)</f>
        <v>0</v>
      </c>
      <c r="BG75" s="36">
        <f>IF(VLOOKUP($H75,'How the score is generated (P)'!$B$4:$I$72,7,0)="ü",$S75,0)</f>
        <v>0</v>
      </c>
      <c r="BH75" s="145">
        <f>IF($N75=0,0,IF(VLOOKUP($H75,'How the score is generated (P)'!$B$4:$I$72,7,0)="ü",2,0))</f>
        <v>2</v>
      </c>
      <c r="BI75" s="35">
        <f>IF(VLOOKUP($H75,'How the score is generated (P)'!$B$4:$I$72,8,0)="ü",$Q75,0)</f>
        <v>0</v>
      </c>
      <c r="BJ75" s="36">
        <f>IF(VLOOKUP($H75,'How the score is generated (P)'!$B$4:$I$72,8,0)="ü",$S75,0)</f>
        <v>0</v>
      </c>
      <c r="BK75" s="145">
        <f>IF($N75=0,0,IF(VLOOKUP($H75,'How the score is generated (P)'!$B$4:$I$72,8,0)="ü",2,0))</f>
        <v>2</v>
      </c>
      <c r="BL75" s="23"/>
      <c r="BM75" s="201"/>
      <c r="BN75" s="23"/>
      <c r="BO75" s="146"/>
      <c r="BT75" s="34" t="s">
        <v>177</v>
      </c>
      <c r="BU75" s="34" t="str">
        <f t="shared" si="37"/>
        <v>Residual Amber</v>
      </c>
      <c r="BV75" s="34">
        <f t="shared" si="33"/>
        <v>0</v>
      </c>
      <c r="BW75" s="34">
        <f t="shared" si="31"/>
        <v>0</v>
      </c>
      <c r="BX75" s="34" t="str">
        <f t="shared" si="32"/>
        <v>50. Customer information at bus stop</v>
      </c>
    </row>
    <row r="76" spans="1:76" ht="65.5" thickBot="1" x14ac:dyDescent="0.4">
      <c r="A76" s="23"/>
      <c r="B76" s="64"/>
      <c r="C76" s="181" t="s">
        <v>210</v>
      </c>
      <c r="D76" s="164">
        <f>D75+1</f>
        <v>51</v>
      </c>
      <c r="E76" s="38" t="s">
        <v>43</v>
      </c>
      <c r="F76" s="198" t="s">
        <v>43</v>
      </c>
      <c r="G76" s="39" t="s">
        <v>236</v>
      </c>
      <c r="H76" s="41" t="s">
        <v>243</v>
      </c>
      <c r="I76" s="272"/>
      <c r="J76" s="40" t="s">
        <v>244</v>
      </c>
      <c r="K76" s="41" t="s">
        <v>245</v>
      </c>
      <c r="L76" s="41" t="s">
        <v>246</v>
      </c>
      <c r="M76" s="42" t="s">
        <v>247</v>
      </c>
      <c r="N76" s="129">
        <f>IF(Project!$B$27="Off Highway",0,IF(Project!$B$41="Yes",1,0))</f>
        <v>1</v>
      </c>
      <c r="O76" s="237">
        <f>IF(Scoring!O75="A",0,Scoring!O75)</f>
        <v>0</v>
      </c>
      <c r="P76" s="144">
        <f>IF(Scoring!P75="A",0,Scoring!P75)</f>
        <v>0</v>
      </c>
      <c r="Q76" s="129">
        <f t="shared" si="34"/>
        <v>0</v>
      </c>
      <c r="R76" s="34">
        <f t="shared" si="35"/>
        <v>2</v>
      </c>
      <c r="S76" s="34">
        <f>IF($N76=0,0,Scoring!P75)</f>
        <v>0</v>
      </c>
      <c r="T76" s="34">
        <f t="shared" si="36"/>
        <v>2</v>
      </c>
      <c r="U76" s="35" t="e">
        <f>IF(VLOOKUP($H76,'How the score is generated (H)'!$B$4:$H$72,2,0)="ü",$Q76,0)</f>
        <v>#N/A</v>
      </c>
      <c r="V76" s="36" t="e">
        <f>IF(VLOOKUP($H76,'How the score is generated (H)'!$B$4:$H$72,2,0)="ü",$S76,0)</f>
        <v>#N/A</v>
      </c>
      <c r="W76" s="145" t="e">
        <f>IF($N76=0,0,IF(VLOOKUP($H76,'How the score is generated (H)'!$B$4:$H$72,2,0)="ü",2,0))</f>
        <v>#N/A</v>
      </c>
      <c r="X76" s="35" t="e">
        <f>IF(VLOOKUP($H76,'How the score is generated (H)'!$B$4:$H$72,3,0)="ü",$Q76,0)</f>
        <v>#N/A</v>
      </c>
      <c r="Y76" s="36" t="e">
        <f>IF(VLOOKUP($H76,'How the score is generated (H)'!$B$4:$H$72,3,0)="ü",$S76,0)</f>
        <v>#N/A</v>
      </c>
      <c r="Z76" s="145" t="e">
        <f>IF($N76=0,0,IF(VLOOKUP($H76,'How the score is generated (H)'!$B$4:$H$72,3,0)="ü",2,0))</f>
        <v>#N/A</v>
      </c>
      <c r="AA76" s="35" t="e">
        <f>IF(VLOOKUP($H76,'How the score is generated (H)'!$B$4:$H$72,4,0)="ü",$Q76,0)</f>
        <v>#N/A</v>
      </c>
      <c r="AB76" s="36" t="e">
        <f>IF(VLOOKUP($H76,'How the score is generated (H)'!$B$4:$H$72,4,0)="ü",$S76,0)</f>
        <v>#N/A</v>
      </c>
      <c r="AC76" s="145" t="e">
        <f>IF($N76=0,0,IF(VLOOKUP($H76,'How the score is generated (H)'!$B$4:$H$72,4,0)="ü",2,0))</f>
        <v>#N/A</v>
      </c>
      <c r="AD76" s="35" t="e">
        <f>IF(VLOOKUP($H76,'How the score is generated (H)'!$B$4:$H$72,5,0)="ü",$Q76,0)</f>
        <v>#N/A</v>
      </c>
      <c r="AE76" s="36" t="e">
        <f>IF(VLOOKUP($H76,'How the score is generated (H)'!$B$4:$H$72,5,0)="ü",$S76,0)</f>
        <v>#N/A</v>
      </c>
      <c r="AF76" s="145" t="e">
        <f>IF($N76=0,0,IF(VLOOKUP($H76,'How the score is generated (H)'!$B$4:$H$72,5,0)="ü",2,0))</f>
        <v>#N/A</v>
      </c>
      <c r="AG76" s="35" t="e">
        <f>IF(VLOOKUP($H76,'How the score is generated (H)'!$B$4:$H$72,6,0)="ü",$Q76,0)</f>
        <v>#N/A</v>
      </c>
      <c r="AH76" s="36" t="e">
        <f>IF(VLOOKUP($H76,'How the score is generated (H)'!$B$4:$H$72,6,0)="ü",$S76,0)</f>
        <v>#N/A</v>
      </c>
      <c r="AI76" s="145" t="e">
        <f>IF($N76=0,0,IF(VLOOKUP($H76,'How the score is generated (H)'!$B$4:$H$72,6,0)="ü",2,0))</f>
        <v>#N/A</v>
      </c>
      <c r="AJ76" s="35" t="e">
        <f>IF(VLOOKUP($H76,'How the score is generated (H)'!$B$4:$H$72,7,0)="ü",$Q76,0)</f>
        <v>#N/A</v>
      </c>
      <c r="AK76" s="36" t="e">
        <f>IF(VLOOKUP($H76,'How the score is generated (H)'!$B$4:$H$72,7,0)="ü",$S76,0)</f>
        <v>#N/A</v>
      </c>
      <c r="AL76" s="145" t="e">
        <f>IF($N76=0,0,IF(VLOOKUP($H76,'How the score is generated (H)'!$B$4:$H$72,7,0)="ü",2,0))</f>
        <v>#N/A</v>
      </c>
      <c r="AM76" s="35" t="e">
        <f>IF(VLOOKUP($H76,'How the score is generated (H)'!$B$4:$H$72,8,0)="ü",$Q76,0)</f>
        <v>#N/A</v>
      </c>
      <c r="AN76" s="36" t="e">
        <f>IF(VLOOKUP($H76,'How the score is generated (H)'!$B$4:$H$72,8,0)="ü",$S76,0)</f>
        <v>#N/A</v>
      </c>
      <c r="AO76" s="145" t="e">
        <f>IF($N76=0,0,IF(VLOOKUP($H76,'How the score is generated (H)'!$B$4:$H$72,8,0)="ü",2,0))</f>
        <v>#N/A</v>
      </c>
      <c r="AP76" s="23"/>
      <c r="AQ76" s="35" t="e">
        <f>IF(VLOOKUP($H76,'How the score is generated (P)'!$B$4:$I$72,2,0)="ü",$Q76,0)</f>
        <v>#N/A</v>
      </c>
      <c r="AR76" s="36" t="e">
        <f>IF(VLOOKUP($H76,'How the score is generated (P)'!$B$4:$I$72,2,0)="ü",$S76,0)</f>
        <v>#N/A</v>
      </c>
      <c r="AS76" s="145" t="e">
        <f>IF($N76=0,0,IF(VLOOKUP($H76,'How the score is generated (P)'!$B$4:$I$72,2,0)="ü",2,0))</f>
        <v>#N/A</v>
      </c>
      <c r="AT76" s="35" t="e">
        <f>IF(VLOOKUP($H76,'How the score is generated (P)'!$B$4:$I$72,3,0)="ü",$Q76,0)</f>
        <v>#N/A</v>
      </c>
      <c r="AU76" s="36" t="e">
        <f>IF(VLOOKUP($H76,'How the score is generated (P)'!$B$4:$I$72,3,0)="ü",$S76,0)</f>
        <v>#N/A</v>
      </c>
      <c r="AV76" s="145" t="e">
        <f>IF($N76=0,0,IF(VLOOKUP($H76,'How the score is generated (P)'!$B$4:$I$72,3,0)="ü",2,0))</f>
        <v>#N/A</v>
      </c>
      <c r="AW76" s="35" t="e">
        <f>IF(VLOOKUP($H76,'How the score is generated (P)'!$B$4:$I$72,4,0)="ü",$Q76,0)</f>
        <v>#N/A</v>
      </c>
      <c r="AX76" s="36" t="e">
        <f>IF(VLOOKUP($H76,'How the score is generated (P)'!$B$4:$I$72,4,0)="ü",$S76,0)</f>
        <v>#N/A</v>
      </c>
      <c r="AY76" s="145" t="e">
        <f>IF($N76=0,0,IF(VLOOKUP($H76,'How the score is generated (P)'!$B$4:$I$72,4,0)="ü",2,0))</f>
        <v>#N/A</v>
      </c>
      <c r="AZ76" s="35" t="e">
        <f>IF(VLOOKUP($H76,'How the score is generated (P)'!$B$4:$I$72,5,0)="ü",$Q76,0)</f>
        <v>#N/A</v>
      </c>
      <c r="BA76" s="36" t="e">
        <f>IF(VLOOKUP($H76,'How the score is generated (P)'!$B$4:$I$72,5,0)="ü",$S76,0)</f>
        <v>#N/A</v>
      </c>
      <c r="BB76" s="145" t="e">
        <f>IF($N76=0,0,IF(VLOOKUP($H76,'How the score is generated (P)'!$B$4:$I$72,5,0)="ü",2,0))</f>
        <v>#N/A</v>
      </c>
      <c r="BC76" s="35" t="e">
        <f>IF(VLOOKUP($H76,'How the score is generated (P)'!$B$4:$I$72,6,0)="ü",$Q76,0)</f>
        <v>#N/A</v>
      </c>
      <c r="BD76" s="36" t="e">
        <f>IF(VLOOKUP($H76,'How the score is generated (P)'!$B$4:$I$72,6,0)="ü",$S76,0)</f>
        <v>#N/A</v>
      </c>
      <c r="BE76" s="145" t="e">
        <f>IF($N76=0,0,IF(VLOOKUP($H76,'How the score is generated (P)'!$B$4:$I$72,6,0)="ü",2,0))</f>
        <v>#N/A</v>
      </c>
      <c r="BF76" s="35" t="e">
        <f>IF(VLOOKUP($H76,'How the score is generated (P)'!$B$4:$I$72,7,0)="ü",$Q76,0)</f>
        <v>#N/A</v>
      </c>
      <c r="BG76" s="36" t="e">
        <f>IF(VLOOKUP($H76,'How the score is generated (P)'!$B$4:$I$72,7,0)="ü",$S76,0)</f>
        <v>#N/A</v>
      </c>
      <c r="BH76" s="145" t="e">
        <f>IF($N76=0,0,IF(VLOOKUP($H76,'How the score is generated (P)'!$B$4:$I$72,7,0)="ü",2,0))</f>
        <v>#N/A</v>
      </c>
      <c r="BI76" s="35" t="e">
        <f>IF(VLOOKUP($H76,'How the score is generated (P)'!$B$4:$I$72,8,0)="ü",$Q76,0)</f>
        <v>#N/A</v>
      </c>
      <c r="BJ76" s="36" t="e">
        <f>IF(VLOOKUP($H76,'How the score is generated (P)'!$B$4:$I$72,8,0)="ü",$S76,0)</f>
        <v>#N/A</v>
      </c>
      <c r="BK76" s="145" t="e">
        <f>IF($N76=0,0,IF(VLOOKUP($H76,'How the score is generated (P)'!$B$4:$I$72,8,0)="ü",2,0))</f>
        <v>#N/A</v>
      </c>
      <c r="BL76" s="23"/>
      <c r="BM76" s="201"/>
      <c r="BN76" s="23"/>
      <c r="BO76" s="146"/>
      <c r="BT76" s="34"/>
      <c r="BU76" s="34" t="str">
        <f t="shared" si="37"/>
        <v/>
      </c>
      <c r="BV76" s="34">
        <f t="shared" si="33"/>
        <v>0</v>
      </c>
      <c r="BW76" s="34">
        <f t="shared" si="31"/>
        <v>0</v>
      </c>
      <c r="BX76" s="34" t="str">
        <f t="shared" si="32"/>
        <v>51. Perception of safety at stop, particularly for women, children and more vulnerable groups</v>
      </c>
    </row>
    <row r="77" spans="1:76" ht="78" customHeight="1" thickBot="1" x14ac:dyDescent="0.4">
      <c r="A77" s="23"/>
      <c r="B77" s="85"/>
      <c r="C77" s="181" t="s">
        <v>210</v>
      </c>
      <c r="D77" s="165">
        <f>D76+1</f>
        <v>52</v>
      </c>
      <c r="E77" s="185" t="s">
        <v>43</v>
      </c>
      <c r="F77" s="188" t="s">
        <v>43</v>
      </c>
      <c r="G77" s="177" t="s">
        <v>248</v>
      </c>
      <c r="H77" s="178" t="s">
        <v>249</v>
      </c>
      <c r="I77" s="273"/>
      <c r="J77" s="179"/>
      <c r="K77" s="229" t="s">
        <v>250</v>
      </c>
      <c r="L77" s="194" t="s">
        <v>251</v>
      </c>
      <c r="M77" s="195" t="s">
        <v>252</v>
      </c>
      <c r="N77" s="129">
        <f>IF(Project!$B$27="Off Highway",0,IF(Project!$B$41="Yes",1,0))</f>
        <v>1</v>
      </c>
      <c r="O77" s="237">
        <f>IF(Scoring!O76="A",0,Scoring!O76)</f>
        <v>0</v>
      </c>
      <c r="P77" s="144">
        <f>IF(Scoring!P76="A",0,Scoring!P76)</f>
        <v>0</v>
      </c>
      <c r="Q77" s="129">
        <f t="shared" si="34"/>
        <v>0</v>
      </c>
      <c r="R77" s="34">
        <f t="shared" si="35"/>
        <v>2</v>
      </c>
      <c r="S77" s="34">
        <f>IF($N77=0,0,Scoring!P76)</f>
        <v>0</v>
      </c>
      <c r="T77" s="34">
        <f t="shared" si="36"/>
        <v>2</v>
      </c>
      <c r="U77" s="35" t="e">
        <f>IF(VLOOKUP($H77,'How the score is generated (H)'!$B$4:$H$72,2,0)="ü",$Q77,0)</f>
        <v>#N/A</v>
      </c>
      <c r="V77" s="36" t="e">
        <f>IF(VLOOKUP($H77,'How the score is generated (H)'!$B$4:$H$72,2,0)="ü",$S77,0)</f>
        <v>#N/A</v>
      </c>
      <c r="W77" s="145" t="e">
        <f>IF($N77=0,0,IF(VLOOKUP($H77,'How the score is generated (H)'!$B$4:$H$72,2,0)="ü",2,0))</f>
        <v>#N/A</v>
      </c>
      <c r="X77" s="35" t="e">
        <f>IF(VLOOKUP($H77,'How the score is generated (H)'!$B$4:$H$72,3,0)="ü",$Q77,0)</f>
        <v>#N/A</v>
      </c>
      <c r="Y77" s="36" t="e">
        <f>IF(VLOOKUP($H77,'How the score is generated (H)'!$B$4:$H$72,3,0)="ü",$S77,0)</f>
        <v>#N/A</v>
      </c>
      <c r="Z77" s="145" t="e">
        <f>IF($N77=0,0,IF(VLOOKUP($H77,'How the score is generated (H)'!$B$4:$H$72,3,0)="ü",2,0))</f>
        <v>#N/A</v>
      </c>
      <c r="AA77" s="35" t="e">
        <f>IF(VLOOKUP($H77,'How the score is generated (H)'!$B$4:$H$72,4,0)="ü",$Q77,0)</f>
        <v>#N/A</v>
      </c>
      <c r="AB77" s="36" t="e">
        <f>IF(VLOOKUP($H77,'How the score is generated (H)'!$B$4:$H$72,4,0)="ü",$S77,0)</f>
        <v>#N/A</v>
      </c>
      <c r="AC77" s="145" t="e">
        <f>IF($N77=0,0,IF(VLOOKUP($H77,'How the score is generated (H)'!$B$4:$H$72,4,0)="ü",2,0))</f>
        <v>#N/A</v>
      </c>
      <c r="AD77" s="35" t="e">
        <f>IF(VLOOKUP($H77,'How the score is generated (H)'!$B$4:$H$72,5,0)="ü",$Q77,0)</f>
        <v>#N/A</v>
      </c>
      <c r="AE77" s="36" t="e">
        <f>IF(VLOOKUP($H77,'How the score is generated (H)'!$B$4:$H$72,5,0)="ü",$S77,0)</f>
        <v>#N/A</v>
      </c>
      <c r="AF77" s="145" t="e">
        <f>IF($N77=0,0,IF(VLOOKUP($H77,'How the score is generated (H)'!$B$4:$H$72,5,0)="ü",2,0))</f>
        <v>#N/A</v>
      </c>
      <c r="AG77" s="35" t="e">
        <f>IF(VLOOKUP($H77,'How the score is generated (H)'!$B$4:$H$72,6,0)="ü",$Q77,0)</f>
        <v>#N/A</v>
      </c>
      <c r="AH77" s="36" t="e">
        <f>IF(VLOOKUP($H77,'How the score is generated (H)'!$B$4:$H$72,6,0)="ü",$S77,0)</f>
        <v>#N/A</v>
      </c>
      <c r="AI77" s="145" t="e">
        <f>IF($N77=0,0,IF(VLOOKUP($H77,'How the score is generated (H)'!$B$4:$H$72,6,0)="ü",2,0))</f>
        <v>#N/A</v>
      </c>
      <c r="AJ77" s="35" t="e">
        <f>IF(VLOOKUP($H77,'How the score is generated (H)'!$B$4:$H$72,7,0)="ü",$Q77,0)</f>
        <v>#N/A</v>
      </c>
      <c r="AK77" s="36" t="e">
        <f>IF(VLOOKUP($H77,'How the score is generated (H)'!$B$4:$H$72,7,0)="ü",$S77,0)</f>
        <v>#N/A</v>
      </c>
      <c r="AL77" s="145" t="e">
        <f>IF($N77=0,0,IF(VLOOKUP($H77,'How the score is generated (H)'!$B$4:$H$72,7,0)="ü",2,0))</f>
        <v>#N/A</v>
      </c>
      <c r="AM77" s="35" t="e">
        <f>IF(VLOOKUP($H77,'How the score is generated (H)'!$B$4:$H$72,8,0)="ü",$Q77,0)</f>
        <v>#N/A</v>
      </c>
      <c r="AN77" s="36" t="e">
        <f>IF(VLOOKUP($H77,'How the score is generated (H)'!$B$4:$H$72,8,0)="ü",$S77,0)</f>
        <v>#N/A</v>
      </c>
      <c r="AO77" s="145" t="e">
        <f>IF($N77=0,0,IF(VLOOKUP($H77,'How the score is generated (H)'!$B$4:$H$72,8,0)="ü",2,0))</f>
        <v>#N/A</v>
      </c>
      <c r="AP77" s="23"/>
      <c r="AQ77" s="35" t="e">
        <f>IF(VLOOKUP($H77,'How the score is generated (P)'!$B$4:$I$72,2,0)="ü",$Q77,0)</f>
        <v>#N/A</v>
      </c>
      <c r="AR77" s="36" t="e">
        <f>IF(VLOOKUP($H77,'How the score is generated (P)'!$B$4:$I$72,2,0)="ü",$S77,0)</f>
        <v>#N/A</v>
      </c>
      <c r="AS77" s="145" t="e">
        <f>IF($N77=0,0,IF(VLOOKUP($H77,'How the score is generated (P)'!$B$4:$I$72,2,0)="ü",2,0))</f>
        <v>#N/A</v>
      </c>
      <c r="AT77" s="35" t="e">
        <f>IF(VLOOKUP($H77,'How the score is generated (P)'!$B$4:$I$72,3,0)="ü",$Q77,0)</f>
        <v>#N/A</v>
      </c>
      <c r="AU77" s="36" t="e">
        <f>IF(VLOOKUP($H77,'How the score is generated (P)'!$B$4:$I$72,3,0)="ü",$S77,0)</f>
        <v>#N/A</v>
      </c>
      <c r="AV77" s="145" t="e">
        <f>IF($N77=0,0,IF(VLOOKUP($H77,'How the score is generated (P)'!$B$4:$I$72,3,0)="ü",2,0))</f>
        <v>#N/A</v>
      </c>
      <c r="AW77" s="35" t="e">
        <f>IF(VLOOKUP($H77,'How the score is generated (P)'!$B$4:$I$72,4,0)="ü",$Q77,0)</f>
        <v>#N/A</v>
      </c>
      <c r="AX77" s="36" t="e">
        <f>IF(VLOOKUP($H77,'How the score is generated (P)'!$B$4:$I$72,4,0)="ü",$S77,0)</f>
        <v>#N/A</v>
      </c>
      <c r="AY77" s="145" t="e">
        <f>IF($N77=0,0,IF(VLOOKUP($H77,'How the score is generated (P)'!$B$4:$I$72,4,0)="ü",2,0))</f>
        <v>#N/A</v>
      </c>
      <c r="AZ77" s="35" t="e">
        <f>IF(VLOOKUP($H77,'How the score is generated (P)'!$B$4:$I$72,5,0)="ü",$Q77,0)</f>
        <v>#N/A</v>
      </c>
      <c r="BA77" s="36" t="e">
        <f>IF(VLOOKUP($H77,'How the score is generated (P)'!$B$4:$I$72,5,0)="ü",$S77,0)</f>
        <v>#N/A</v>
      </c>
      <c r="BB77" s="145" t="e">
        <f>IF($N77=0,0,IF(VLOOKUP($H77,'How the score is generated (P)'!$B$4:$I$72,5,0)="ü",2,0))</f>
        <v>#N/A</v>
      </c>
      <c r="BC77" s="35" t="e">
        <f>IF(VLOOKUP($H77,'How the score is generated (P)'!$B$4:$I$72,6,0)="ü",$Q77,0)</f>
        <v>#N/A</v>
      </c>
      <c r="BD77" s="36" t="e">
        <f>IF(VLOOKUP($H77,'How the score is generated (P)'!$B$4:$I$72,6,0)="ü",$S77,0)</f>
        <v>#N/A</v>
      </c>
      <c r="BE77" s="145" t="e">
        <f>IF($N77=0,0,IF(VLOOKUP($H77,'How the score is generated (P)'!$B$4:$I$72,6,0)="ü",2,0))</f>
        <v>#N/A</v>
      </c>
      <c r="BF77" s="35" t="e">
        <f>IF(VLOOKUP($H77,'How the score is generated (P)'!$B$4:$I$72,7,0)="ü",$Q77,0)</f>
        <v>#N/A</v>
      </c>
      <c r="BG77" s="36" t="e">
        <f>IF(VLOOKUP($H77,'How the score is generated (P)'!$B$4:$I$72,7,0)="ü",$S77,0)</f>
        <v>#N/A</v>
      </c>
      <c r="BH77" s="145" t="e">
        <f>IF($N77=0,0,IF(VLOOKUP($H77,'How the score is generated (P)'!$B$4:$I$72,7,0)="ü",2,0))</f>
        <v>#N/A</v>
      </c>
      <c r="BI77" s="35" t="e">
        <f>IF(VLOOKUP($H77,'How the score is generated (P)'!$B$4:$I$72,8,0)="ü",$Q77,0)</f>
        <v>#N/A</v>
      </c>
      <c r="BJ77" s="36" t="e">
        <f>IF(VLOOKUP($H77,'How the score is generated (P)'!$B$4:$I$72,8,0)="ü",$S77,0)</f>
        <v>#N/A</v>
      </c>
      <c r="BK77" s="145" t="e">
        <f>IF($N77=0,0,IF(VLOOKUP($H77,'How the score is generated (P)'!$B$4:$I$72,8,0)="ü",2,0))</f>
        <v>#N/A</v>
      </c>
      <c r="BL77" s="23"/>
      <c r="BM77" s="201"/>
      <c r="BN77" s="23"/>
      <c r="BO77" s="146"/>
      <c r="BT77" s="34" t="s">
        <v>177</v>
      </c>
      <c r="BU77" s="34" t="str">
        <f t="shared" si="37"/>
        <v>Residual Amber</v>
      </c>
      <c r="BV77" s="34">
        <f t="shared" si="33"/>
        <v>0</v>
      </c>
      <c r="BW77" s="34">
        <f t="shared" si="31"/>
        <v>0</v>
      </c>
      <c r="BX77" s="34" t="str">
        <f t="shared" si="32"/>
        <v>52. Bus priority measures</v>
      </c>
    </row>
    <row r="78" spans="1:76" ht="15" thickBot="1" x14ac:dyDescent="0.4">
      <c r="A78" s="23"/>
      <c r="B78" s="31"/>
      <c r="C78" s="78"/>
      <c r="D78" s="78"/>
      <c r="E78" s="78"/>
      <c r="F78" s="78"/>
      <c r="G78" s="524" t="s">
        <v>253</v>
      </c>
      <c r="H78" s="654"/>
      <c r="I78" s="654"/>
      <c r="J78" s="654"/>
      <c r="K78" s="654"/>
      <c r="L78" s="654"/>
      <c r="M78" s="654"/>
      <c r="N78" s="79"/>
      <c r="O78" s="79"/>
      <c r="P78" s="80"/>
      <c r="Q78" s="81"/>
      <c r="R78" s="81"/>
      <c r="S78" s="81"/>
      <c r="T78" s="81"/>
      <c r="U78" s="54"/>
      <c r="V78" s="23"/>
      <c r="W78" s="23"/>
      <c r="X78" s="54"/>
      <c r="Y78" s="23"/>
      <c r="Z78" s="23"/>
      <c r="AA78" s="54"/>
      <c r="AB78" s="23"/>
      <c r="AC78" s="23"/>
      <c r="AD78" s="54"/>
      <c r="AE78" s="23"/>
      <c r="AF78" s="23"/>
      <c r="AG78" s="54"/>
      <c r="AH78" s="23"/>
      <c r="AI78" s="23"/>
      <c r="AJ78" s="54"/>
      <c r="AK78" s="23"/>
      <c r="AL78" s="23"/>
      <c r="AM78" s="54"/>
      <c r="AN78" s="23"/>
      <c r="AO78" s="23"/>
      <c r="AP78" s="23"/>
      <c r="AQ78" s="54"/>
      <c r="AR78" s="23"/>
      <c r="AS78" s="23"/>
      <c r="AT78" s="54"/>
      <c r="AU78" s="23"/>
      <c r="AV78" s="23"/>
      <c r="AW78" s="54"/>
      <c r="AX78" s="23"/>
      <c r="AY78" s="23"/>
      <c r="AZ78" s="54"/>
      <c r="BA78" s="23"/>
      <c r="BB78" s="23"/>
      <c r="BC78" s="54"/>
      <c r="BD78" s="23"/>
      <c r="BE78" s="23"/>
      <c r="BF78" s="54"/>
      <c r="BG78" s="23"/>
      <c r="BH78" s="23"/>
      <c r="BI78" s="54"/>
      <c r="BJ78" s="23"/>
      <c r="BK78" s="23"/>
      <c r="BL78" s="23"/>
      <c r="BM78" s="23"/>
      <c r="BN78" s="23"/>
      <c r="BO78" s="23"/>
      <c r="BT78" s="34"/>
      <c r="BU78" s="34" t="str">
        <f t="shared" si="37"/>
        <v/>
      </c>
      <c r="BV78" s="34" t="str">
        <f t="shared" si="33"/>
        <v/>
      </c>
      <c r="BW78" s="34" t="str">
        <f t="shared" si="31"/>
        <v/>
      </c>
      <c r="BX78" s="34" t="str">
        <f t="shared" si="32"/>
        <v xml:space="preserve">. </v>
      </c>
    </row>
    <row r="79" spans="1:76" ht="39.5" thickBot="1" x14ac:dyDescent="0.4">
      <c r="A79" s="23"/>
      <c r="B79" s="31"/>
      <c r="C79" s="210" t="s">
        <v>210</v>
      </c>
      <c r="D79" s="163">
        <f>D77+1</f>
        <v>53</v>
      </c>
      <c r="E79" s="183" t="s">
        <v>43</v>
      </c>
      <c r="F79" s="167" t="s">
        <v>20</v>
      </c>
      <c r="G79" s="173" t="s">
        <v>254</v>
      </c>
      <c r="H79" s="174" t="s">
        <v>377</v>
      </c>
      <c r="I79" s="271"/>
      <c r="J79" s="175" t="s">
        <v>255</v>
      </c>
      <c r="K79" s="174"/>
      <c r="L79" s="174" t="s">
        <v>256</v>
      </c>
      <c r="M79" s="176" t="s">
        <v>558</v>
      </c>
      <c r="N79" s="129">
        <f>IF(Project!$B$27="Off Highway",0,IF(Project!$I$37="Yes",1,0))</f>
        <v>1</v>
      </c>
      <c r="O79" s="237">
        <f>IF(Scoring!O78="A",0,Scoring!O78)</f>
        <v>0</v>
      </c>
      <c r="P79" s="144">
        <f>IF(Scoring!P78="A",0,Scoring!P78)</f>
        <v>0</v>
      </c>
      <c r="Q79" s="129">
        <f>IF($N79=0,0,O79)</f>
        <v>0</v>
      </c>
      <c r="R79" s="34">
        <f>IF($N79=0,0,2)</f>
        <v>2</v>
      </c>
      <c r="S79" s="34">
        <f>IF($N79=0,0,Scoring!P78)</f>
        <v>0</v>
      </c>
      <c r="T79" s="34">
        <f>IF($N79=0,0,2)</f>
        <v>2</v>
      </c>
      <c r="U79" s="35">
        <f>IF(VLOOKUP($H79,'How the score is generated (H)'!$B$4:$H$72,2,0)="ü",$Q79,0)</f>
        <v>0</v>
      </c>
      <c r="V79" s="36">
        <f>IF(VLOOKUP($H79,'How the score is generated (H)'!$B$4:$H$72,2,0)="ü",$S79,0)</f>
        <v>0</v>
      </c>
      <c r="W79" s="145">
        <f>IF($N79=0,0,IF(VLOOKUP($H79,'How the score is generated (H)'!$B$4:$H$72,2,0)="ü",2,0))</f>
        <v>0</v>
      </c>
      <c r="X79" s="35">
        <f>IF(VLOOKUP($H79,'How the score is generated (H)'!$B$4:$H$72,3,0)="ü",$Q79,0)</f>
        <v>0</v>
      </c>
      <c r="Y79" s="36">
        <f>IF(VLOOKUP($H79,'How the score is generated (H)'!$B$4:$H$72,3,0)="ü",$S79,0)</f>
        <v>0</v>
      </c>
      <c r="Z79" s="145">
        <f>IF($N79=0,0,IF(VLOOKUP($H79,'How the score is generated (H)'!$B$4:$H$72,3,0)="ü",2,0))</f>
        <v>0</v>
      </c>
      <c r="AA79" s="35">
        <f>IF(VLOOKUP($H79,'How the score is generated (H)'!$B$4:$H$72,4,0)="ü",$Q79,0)</f>
        <v>0</v>
      </c>
      <c r="AB79" s="36">
        <f>IF(VLOOKUP($H79,'How the score is generated (H)'!$B$4:$H$72,4,0)="ü",$S79,0)</f>
        <v>0</v>
      </c>
      <c r="AC79" s="145">
        <f>IF($N79=0,0,IF(VLOOKUP($H79,'How the score is generated (H)'!$B$4:$H$72,4,0)="ü",2,0))</f>
        <v>2</v>
      </c>
      <c r="AD79" s="35">
        <f>IF(VLOOKUP($H79,'How the score is generated (H)'!$B$4:$H$72,5,0)="ü",$Q79,0)</f>
        <v>0</v>
      </c>
      <c r="AE79" s="36">
        <f>IF(VLOOKUP($H79,'How the score is generated (H)'!$B$4:$H$72,5,0)="ü",$S79,0)</f>
        <v>0</v>
      </c>
      <c r="AF79" s="145">
        <f>IF($N79=0,0,IF(VLOOKUP($H79,'How the score is generated (H)'!$B$4:$H$72,5,0)="ü",2,0))</f>
        <v>0</v>
      </c>
      <c r="AG79" s="35">
        <f>IF(VLOOKUP($H79,'How the score is generated (H)'!$B$4:$H$72,6,0)="ü",$Q79,0)</f>
        <v>0</v>
      </c>
      <c r="AH79" s="36">
        <f>IF(VLOOKUP($H79,'How the score is generated (H)'!$B$4:$H$72,6,0)="ü",$S79,0)</f>
        <v>0</v>
      </c>
      <c r="AI79" s="145">
        <f>IF($N79=0,0,IF(VLOOKUP($H79,'How the score is generated (H)'!$B$4:$H$72,6,0)="ü",2,0))</f>
        <v>0</v>
      </c>
      <c r="AJ79" s="35">
        <f>IF(VLOOKUP($H79,'How the score is generated (H)'!$B$4:$H$72,7,0)="ü",$Q79,0)</f>
        <v>0</v>
      </c>
      <c r="AK79" s="36">
        <f>IF(VLOOKUP($H79,'How the score is generated (H)'!$B$4:$H$72,7,0)="ü",$S79,0)</f>
        <v>0</v>
      </c>
      <c r="AL79" s="145">
        <f>IF($N79=0,0,IF(VLOOKUP($H79,'How the score is generated (H)'!$B$4:$H$72,7,0)="ü",2,0))</f>
        <v>0</v>
      </c>
      <c r="AM79" s="35" t="e">
        <f>IF(VLOOKUP($H79,'How the score is generated (H)'!$B$4:$H$72,8,0)="ü",$Q79,0)</f>
        <v>#REF!</v>
      </c>
      <c r="AN79" s="36" t="e">
        <f>IF(VLOOKUP($H79,'How the score is generated (H)'!$B$4:$H$72,8,0)="ü",$S79,0)</f>
        <v>#REF!</v>
      </c>
      <c r="AO79" s="145" t="e">
        <f>IF($N79=0,0,IF(VLOOKUP($H79,'How the score is generated (H)'!$B$4:$H$72,8,0)="ü",2,0))</f>
        <v>#REF!</v>
      </c>
      <c r="AP79" s="23"/>
      <c r="AQ79" s="35">
        <f>IF(VLOOKUP($H79,'How the score is generated (P)'!$B$4:$I$72,2,0)="ü",$Q79,0)</f>
        <v>0</v>
      </c>
      <c r="AR79" s="36">
        <f>IF(VLOOKUP($H79,'How the score is generated (P)'!$B$4:$I$72,2,0)="ü",$S79,0)</f>
        <v>0</v>
      </c>
      <c r="AS79" s="145">
        <f>IF($N79=0,0,IF(VLOOKUP($H79,'How the score is generated (P)'!$B$4:$I$72,2,0)="ü",2,0))</f>
        <v>0</v>
      </c>
      <c r="AT79" s="35">
        <f>IF(VLOOKUP($H79,'How the score is generated (P)'!$B$4:$I$72,3,0)="ü",$Q79,0)</f>
        <v>0</v>
      </c>
      <c r="AU79" s="36">
        <f>IF(VLOOKUP($H79,'How the score is generated (P)'!$B$4:$I$72,3,0)="ü",$S79,0)</f>
        <v>0</v>
      </c>
      <c r="AV79" s="145">
        <f>IF($N79=0,0,IF(VLOOKUP($H79,'How the score is generated (P)'!$B$4:$I$72,3,0)="ü",2,0))</f>
        <v>0</v>
      </c>
      <c r="AW79" s="35">
        <f>IF(VLOOKUP($H79,'How the score is generated (P)'!$B$4:$I$72,4,0)="ü",$Q79,0)</f>
        <v>0</v>
      </c>
      <c r="AX79" s="36">
        <f>IF(VLOOKUP($H79,'How the score is generated (P)'!$B$4:$I$72,4,0)="ü",$S79,0)</f>
        <v>0</v>
      </c>
      <c r="AY79" s="145">
        <f>IF($N79=0,0,IF(VLOOKUP($H79,'How the score is generated (P)'!$B$4:$I$72,4,0)="ü",2,0))</f>
        <v>0</v>
      </c>
      <c r="AZ79" s="35">
        <f>IF(VLOOKUP($H79,'How the score is generated (P)'!$B$4:$I$72,5,0)="ü",$Q79,0)</f>
        <v>0</v>
      </c>
      <c r="BA79" s="36">
        <f>IF(VLOOKUP($H79,'How the score is generated (P)'!$B$4:$I$72,5,0)="ü",$S79,0)</f>
        <v>0</v>
      </c>
      <c r="BB79" s="145">
        <f>IF($N79=0,0,IF(VLOOKUP($H79,'How the score is generated (P)'!$B$4:$I$72,5,0)="ü",2,0))</f>
        <v>0</v>
      </c>
      <c r="BC79" s="35">
        <f>IF(VLOOKUP($H79,'How the score is generated (P)'!$B$4:$I$72,6,0)="ü",$Q79,0)</f>
        <v>0</v>
      </c>
      <c r="BD79" s="36">
        <f>IF(VLOOKUP($H79,'How the score is generated (P)'!$B$4:$I$72,6,0)="ü",$S79,0)</f>
        <v>0</v>
      </c>
      <c r="BE79" s="145">
        <f>IF($N79=0,0,IF(VLOOKUP($H79,'How the score is generated (P)'!$B$4:$I$72,6,0)="ü",2,0))</f>
        <v>0</v>
      </c>
      <c r="BF79" s="35">
        <f>IF(VLOOKUP($H79,'How the score is generated (P)'!$B$4:$I$72,7,0)="ü",$Q79,0)</f>
        <v>0</v>
      </c>
      <c r="BG79" s="36">
        <f>IF(VLOOKUP($H79,'How the score is generated (P)'!$B$4:$I$72,7,0)="ü",$S79,0)</f>
        <v>0</v>
      </c>
      <c r="BH79" s="145">
        <f>IF($N79=0,0,IF(VLOOKUP($H79,'How the score is generated (P)'!$B$4:$I$72,7,0)="ü",2,0))</f>
        <v>0</v>
      </c>
      <c r="BI79" s="35">
        <f>IF(VLOOKUP($H79,'How the score is generated (P)'!$B$4:$I$72,8,0)="ü",$Q79,0)</f>
        <v>0</v>
      </c>
      <c r="BJ79" s="36">
        <f>IF(VLOOKUP($H79,'How the score is generated (P)'!$B$4:$I$72,8,0)="ü",$S79,0)</f>
        <v>0</v>
      </c>
      <c r="BK79" s="145">
        <f>IF($N79=0,0,IF(VLOOKUP($H79,'How the score is generated (P)'!$B$4:$I$72,8,0)="ü",2,0))</f>
        <v>0</v>
      </c>
      <c r="BL79" s="23"/>
      <c r="BM79" s="201"/>
      <c r="BN79" s="23"/>
      <c r="BO79" s="146"/>
      <c r="BT79" s="34"/>
      <c r="BU79" s="34" t="str">
        <f t="shared" si="37"/>
        <v/>
      </c>
      <c r="BV79" s="34">
        <f t="shared" si="33"/>
        <v>0</v>
      </c>
      <c r="BW79" s="34">
        <f t="shared" si="31"/>
        <v>0</v>
      </c>
      <c r="BX79" s="34" t="str">
        <f t="shared" si="32"/>
        <v>53. Effective width next to a tramline on straight or curved section</v>
      </c>
    </row>
    <row r="80" spans="1:76" ht="39.5" thickBot="1" x14ac:dyDescent="0.4">
      <c r="A80" s="23"/>
      <c r="B80" s="31"/>
      <c r="C80" s="71" t="s">
        <v>210</v>
      </c>
      <c r="D80" s="165">
        <f>D79+1</f>
        <v>54</v>
      </c>
      <c r="E80" s="166" t="s">
        <v>43</v>
      </c>
      <c r="F80" s="169" t="s">
        <v>20</v>
      </c>
      <c r="G80" s="177" t="s">
        <v>257</v>
      </c>
      <c r="H80" s="178" t="s">
        <v>258</v>
      </c>
      <c r="I80" s="273"/>
      <c r="J80" s="196" t="s">
        <v>259</v>
      </c>
      <c r="K80" s="178" t="s">
        <v>260</v>
      </c>
      <c r="L80" s="178" t="s">
        <v>261</v>
      </c>
      <c r="M80" s="180" t="s">
        <v>262</v>
      </c>
      <c r="N80" s="129">
        <f>IF(Project!$B$27="Off Highway",0,IF(Project!$I$37="Yes",1,0))</f>
        <v>1</v>
      </c>
      <c r="O80" s="237">
        <f>IF(Scoring!O79="A",0,Scoring!O79)</f>
        <v>0</v>
      </c>
      <c r="P80" s="144">
        <f>IF(Scoring!P79="A",0,Scoring!P79)</f>
        <v>0</v>
      </c>
      <c r="Q80" s="129">
        <f>IF($N80=0,0,O80)</f>
        <v>0</v>
      </c>
      <c r="R80" s="34">
        <f>IF($N80=0,0,2)</f>
        <v>2</v>
      </c>
      <c r="S80" s="34">
        <f>IF($N80=0,0,Scoring!P79)</f>
        <v>0</v>
      </c>
      <c r="T80" s="34">
        <f>IF($N80=0,0,2)</f>
        <v>2</v>
      </c>
      <c r="U80" s="35">
        <f>IF(VLOOKUP($H80,'How the score is generated (H)'!$B$4:$H$72,2,0)="ü",$Q80,0)</f>
        <v>0</v>
      </c>
      <c r="V80" s="36">
        <f>IF(VLOOKUP($H80,'How the score is generated (H)'!$B$4:$H$72,2,0)="ü",$S80,0)</f>
        <v>0</v>
      </c>
      <c r="W80" s="145">
        <f>IF($N80=0,0,IF(VLOOKUP($H80,'How the score is generated (H)'!$B$4:$H$72,2,0)="ü",2,0))</f>
        <v>0</v>
      </c>
      <c r="X80" s="35">
        <f>IF(VLOOKUP($H80,'How the score is generated (H)'!$B$4:$H$72,3,0)="ü",$Q80,0)</f>
        <v>0</v>
      </c>
      <c r="Y80" s="36">
        <f>IF(VLOOKUP($H80,'How the score is generated (H)'!$B$4:$H$72,3,0)="ü",$S80,0)</f>
        <v>0</v>
      </c>
      <c r="Z80" s="145">
        <f>IF($N80=0,0,IF(VLOOKUP($H80,'How the score is generated (H)'!$B$4:$H$72,3,0)="ü",2,0))</f>
        <v>0</v>
      </c>
      <c r="AA80" s="35">
        <f>IF(VLOOKUP($H80,'How the score is generated (H)'!$B$4:$H$72,4,0)="ü",$Q80,0)</f>
        <v>0</v>
      </c>
      <c r="AB80" s="36">
        <f>IF(VLOOKUP($H80,'How the score is generated (H)'!$B$4:$H$72,4,0)="ü",$S80,0)</f>
        <v>0</v>
      </c>
      <c r="AC80" s="145">
        <f>IF($N80=0,0,IF(VLOOKUP($H80,'How the score is generated (H)'!$B$4:$H$72,4,0)="ü",2,0))</f>
        <v>2</v>
      </c>
      <c r="AD80" s="35">
        <f>IF(VLOOKUP($H80,'How the score is generated (H)'!$B$4:$H$72,5,0)="ü",$Q80,0)</f>
        <v>0</v>
      </c>
      <c r="AE80" s="36">
        <f>IF(VLOOKUP($H80,'How the score is generated (H)'!$B$4:$H$72,5,0)="ü",$S80,0)</f>
        <v>0</v>
      </c>
      <c r="AF80" s="145">
        <f>IF($N80=0,0,IF(VLOOKUP($H80,'How the score is generated (H)'!$B$4:$H$72,5,0)="ü",2,0))</f>
        <v>0</v>
      </c>
      <c r="AG80" s="35">
        <f>IF(VLOOKUP($H80,'How the score is generated (H)'!$B$4:$H$72,6,0)="ü",$Q80,0)</f>
        <v>0</v>
      </c>
      <c r="AH80" s="36">
        <f>IF(VLOOKUP($H80,'How the score is generated (H)'!$B$4:$H$72,6,0)="ü",$S80,0)</f>
        <v>0</v>
      </c>
      <c r="AI80" s="145">
        <f>IF($N80=0,0,IF(VLOOKUP($H80,'How the score is generated (H)'!$B$4:$H$72,6,0)="ü",2,0))</f>
        <v>0</v>
      </c>
      <c r="AJ80" s="35">
        <f>IF(VLOOKUP($H80,'How the score is generated (H)'!$B$4:$H$72,7,0)="ü",$Q80,0)</f>
        <v>0</v>
      </c>
      <c r="AK80" s="36">
        <f>IF(VLOOKUP($H80,'How the score is generated (H)'!$B$4:$H$72,7,0)="ü",$S80,0)</f>
        <v>0</v>
      </c>
      <c r="AL80" s="145">
        <f>IF($N80=0,0,IF(VLOOKUP($H80,'How the score is generated (H)'!$B$4:$H$72,7,0)="ü",2,0))</f>
        <v>0</v>
      </c>
      <c r="AM80" s="35" t="e">
        <f>IF(VLOOKUP($H80,'How the score is generated (H)'!$B$4:$H$72,8,0)="ü",$Q80,0)</f>
        <v>#REF!</v>
      </c>
      <c r="AN80" s="36" t="e">
        <f>IF(VLOOKUP($H80,'How the score is generated (H)'!$B$4:$H$72,8,0)="ü",$S80,0)</f>
        <v>#REF!</v>
      </c>
      <c r="AO80" s="145" t="e">
        <f>IF($N80=0,0,IF(VLOOKUP($H80,'How the score is generated (H)'!$B$4:$H$72,8,0)="ü",2,0))</f>
        <v>#REF!</v>
      </c>
      <c r="AP80" s="23"/>
      <c r="AQ80" s="35">
        <f>IF(VLOOKUP($H80,'How the score is generated (P)'!$B$4:$I$72,2,0)="ü",$Q80,0)</f>
        <v>0</v>
      </c>
      <c r="AR80" s="36">
        <f>IF(VLOOKUP($H80,'How the score is generated (P)'!$B$4:$I$72,2,0)="ü",$S80,0)</f>
        <v>0</v>
      </c>
      <c r="AS80" s="145">
        <f>IF($N80=0,0,IF(VLOOKUP($H80,'How the score is generated (P)'!$B$4:$I$72,2,0)="ü",2,0))</f>
        <v>0</v>
      </c>
      <c r="AT80" s="35">
        <f>IF(VLOOKUP($H80,'How the score is generated (P)'!$B$4:$I$72,3,0)="ü",$Q80,0)</f>
        <v>0</v>
      </c>
      <c r="AU80" s="36">
        <f>IF(VLOOKUP($H80,'How the score is generated (P)'!$B$4:$I$72,3,0)="ü",$S80,0)</f>
        <v>0</v>
      </c>
      <c r="AV80" s="145">
        <f>IF($N80=0,0,IF(VLOOKUP($H80,'How the score is generated (P)'!$B$4:$I$72,3,0)="ü",2,0))</f>
        <v>0</v>
      </c>
      <c r="AW80" s="35">
        <f>IF(VLOOKUP($H80,'How the score is generated (P)'!$B$4:$I$72,4,0)="ü",$Q80,0)</f>
        <v>0</v>
      </c>
      <c r="AX80" s="36">
        <f>IF(VLOOKUP($H80,'How the score is generated (P)'!$B$4:$I$72,4,0)="ü",$S80,0)</f>
        <v>0</v>
      </c>
      <c r="AY80" s="145">
        <f>IF($N80=0,0,IF(VLOOKUP($H80,'How the score is generated (P)'!$B$4:$I$72,4,0)="ü",2,0))</f>
        <v>0</v>
      </c>
      <c r="AZ80" s="35">
        <f>IF(VLOOKUP($H80,'How the score is generated (P)'!$B$4:$I$72,5,0)="ü",$Q80,0)</f>
        <v>0</v>
      </c>
      <c r="BA80" s="36">
        <f>IF(VLOOKUP($H80,'How the score is generated (P)'!$B$4:$I$72,5,0)="ü",$S80,0)</f>
        <v>0</v>
      </c>
      <c r="BB80" s="145">
        <f>IF($N80=0,0,IF(VLOOKUP($H80,'How the score is generated (P)'!$B$4:$I$72,5,0)="ü",2,0))</f>
        <v>0</v>
      </c>
      <c r="BC80" s="35">
        <f>IF(VLOOKUP($H80,'How the score is generated (P)'!$B$4:$I$72,6,0)="ü",$Q80,0)</f>
        <v>0</v>
      </c>
      <c r="BD80" s="36">
        <f>IF(VLOOKUP($H80,'How the score is generated (P)'!$B$4:$I$72,6,0)="ü",$S80,0)</f>
        <v>0</v>
      </c>
      <c r="BE80" s="145">
        <f>IF($N80=0,0,IF(VLOOKUP($H80,'How the score is generated (P)'!$B$4:$I$72,6,0)="ü",2,0))</f>
        <v>0</v>
      </c>
      <c r="BF80" s="35">
        <f>IF(VLOOKUP($H80,'How the score is generated (P)'!$B$4:$I$72,7,0)="ü",$Q80,0)</f>
        <v>0</v>
      </c>
      <c r="BG80" s="36">
        <f>IF(VLOOKUP($H80,'How the score is generated (P)'!$B$4:$I$72,7,0)="ü",$S80,0)</f>
        <v>0</v>
      </c>
      <c r="BH80" s="145">
        <f>IF($N80=0,0,IF(VLOOKUP($H80,'How the score is generated (P)'!$B$4:$I$72,7,0)="ü",2,0))</f>
        <v>0</v>
      </c>
      <c r="BI80" s="35">
        <f>IF(VLOOKUP($H80,'How the score is generated (P)'!$B$4:$I$72,8,0)="ü",$Q80,0)</f>
        <v>0</v>
      </c>
      <c r="BJ80" s="36">
        <f>IF(VLOOKUP($H80,'How the score is generated (P)'!$B$4:$I$72,8,0)="ü",$S80,0)</f>
        <v>0</v>
      </c>
      <c r="BK80" s="145">
        <f>IF($N80=0,0,IF(VLOOKUP($H80,'How the score is generated (P)'!$B$4:$I$72,8,0)="ü",2,0))</f>
        <v>0</v>
      </c>
      <c r="BL80" s="23"/>
      <c r="BM80" s="201"/>
      <c r="BN80" s="23"/>
      <c r="BO80" s="146"/>
      <c r="BT80" s="34"/>
      <c r="BU80" s="34" t="str">
        <f t="shared" si="37"/>
        <v/>
      </c>
      <c r="BV80" s="34">
        <f t="shared" si="33"/>
        <v>0</v>
      </c>
      <c r="BW80" s="34">
        <f t="shared" si="31"/>
        <v>0</v>
      </c>
      <c r="BX80" s="34" t="str">
        <f t="shared" si="32"/>
        <v>54. Crossing angle</v>
      </c>
    </row>
    <row r="81" spans="1:76" ht="15" thickBot="1" x14ac:dyDescent="0.4">
      <c r="A81" s="23"/>
      <c r="B81" s="86"/>
      <c r="C81" s="87"/>
      <c r="D81" s="47"/>
      <c r="E81" s="47"/>
      <c r="F81" s="47"/>
      <c r="G81" s="171" t="s">
        <v>210</v>
      </c>
      <c r="H81" s="172"/>
      <c r="I81" s="263"/>
      <c r="J81" s="172"/>
      <c r="K81" s="172"/>
      <c r="L81" s="172"/>
      <c r="M81" s="172"/>
      <c r="N81" s="48"/>
      <c r="O81" s="49" t="str">
        <f>Q81&amp;"/"&amp;R81</f>
        <v>0/24</v>
      </c>
      <c r="P81" s="50" t="str">
        <f>S81&amp;"/"&amp;T81</f>
        <v>0/24</v>
      </c>
      <c r="Q81" s="51">
        <f>SUM(Q67:Q80)</f>
        <v>0</v>
      </c>
      <c r="R81" s="51">
        <f>SUM(R67:R80)</f>
        <v>24</v>
      </c>
      <c r="S81" s="51">
        <f>SUM(S67:S80)</f>
        <v>0</v>
      </c>
      <c r="T81" s="51">
        <f>SUM(T67:T80)</f>
        <v>24</v>
      </c>
      <c r="U81" s="54"/>
      <c r="V81" s="56"/>
      <c r="W81" s="56"/>
      <c r="X81" s="54"/>
      <c r="Y81" s="56"/>
      <c r="Z81" s="56"/>
      <c r="AA81" s="54"/>
      <c r="AB81" s="56"/>
      <c r="AC81" s="56"/>
      <c r="AD81" s="54"/>
      <c r="AE81" s="56"/>
      <c r="AF81" s="56"/>
      <c r="AG81" s="54"/>
      <c r="AH81" s="56"/>
      <c r="AI81" s="56"/>
      <c r="AJ81" s="54"/>
      <c r="AK81" s="56"/>
      <c r="AL81" s="56"/>
      <c r="AM81" s="54"/>
      <c r="AN81" s="56"/>
      <c r="AO81" s="56"/>
      <c r="AP81" s="23"/>
      <c r="AQ81" s="54"/>
      <c r="AR81" s="56"/>
      <c r="AS81" s="56"/>
      <c r="AT81" s="54"/>
      <c r="AU81" s="56"/>
      <c r="AV81" s="56"/>
      <c r="AW81" s="54"/>
      <c r="AX81" s="56"/>
      <c r="AY81" s="56"/>
      <c r="AZ81" s="54"/>
      <c r="BA81" s="56"/>
      <c r="BB81" s="56"/>
      <c r="BC81" s="54"/>
      <c r="BD81" s="56"/>
      <c r="BE81" s="56"/>
      <c r="BF81" s="54"/>
      <c r="BG81" s="56"/>
      <c r="BH81" s="56"/>
      <c r="BI81" s="54"/>
      <c r="BJ81" s="56"/>
      <c r="BK81" s="56"/>
      <c r="BL81" s="23"/>
      <c r="BM81" s="23"/>
      <c r="BN81" s="23"/>
      <c r="BO81" s="23"/>
      <c r="BT81" s="51"/>
      <c r="BU81" s="51"/>
      <c r="BV81" s="51" t="str">
        <f t="shared" si="33"/>
        <v/>
      </c>
      <c r="BW81" s="51" t="str">
        <f t="shared" si="31"/>
        <v/>
      </c>
      <c r="BX81" s="51" t="str">
        <f t="shared" si="32"/>
        <v xml:space="preserve">. </v>
      </c>
    </row>
    <row r="82" spans="1:76" ht="21.5" thickBot="1" x14ac:dyDescent="0.4">
      <c r="A82" s="23"/>
      <c r="B82" s="62"/>
      <c r="C82" s="63"/>
      <c r="D82" s="87"/>
      <c r="E82" s="87"/>
      <c r="F82" s="87"/>
      <c r="G82" s="88"/>
      <c r="H82" s="88"/>
      <c r="I82" s="266"/>
      <c r="J82" s="67"/>
      <c r="K82" s="61"/>
      <c r="L82" s="61"/>
      <c r="M82" s="61"/>
      <c r="N82" s="61"/>
      <c r="O82" s="61"/>
      <c r="P82" s="61"/>
      <c r="Q82" s="61"/>
      <c r="R82" s="61"/>
      <c r="S82" s="61"/>
      <c r="T82" s="61"/>
      <c r="U82" s="54"/>
      <c r="V82" s="23"/>
      <c r="W82" s="23"/>
      <c r="X82" s="54"/>
      <c r="Y82" s="23"/>
      <c r="Z82" s="23"/>
      <c r="AA82" s="54"/>
      <c r="AB82" s="23"/>
      <c r="AC82" s="23"/>
      <c r="AD82" s="54"/>
      <c r="AE82" s="23"/>
      <c r="AF82" s="23"/>
      <c r="AG82" s="54"/>
      <c r="AH82" s="23"/>
      <c r="AI82" s="23"/>
      <c r="AJ82" s="54"/>
      <c r="AK82" s="23"/>
      <c r="AL82" s="23"/>
      <c r="AM82" s="54"/>
      <c r="AN82" s="23"/>
      <c r="AO82" s="23"/>
      <c r="AP82" s="23"/>
      <c r="AQ82" s="54"/>
      <c r="AR82" s="23"/>
      <c r="AS82" s="23"/>
      <c r="AT82" s="54"/>
      <c r="AU82" s="23"/>
      <c r="AV82" s="23"/>
      <c r="AW82" s="54"/>
      <c r="AX82" s="23"/>
      <c r="AY82" s="23"/>
      <c r="AZ82" s="54"/>
      <c r="BA82" s="23"/>
      <c r="BB82" s="23"/>
      <c r="BC82" s="54"/>
      <c r="BD82" s="23"/>
      <c r="BE82" s="23"/>
      <c r="BF82" s="54"/>
      <c r="BG82" s="23"/>
      <c r="BH82" s="23"/>
      <c r="BI82" s="54"/>
      <c r="BJ82" s="23"/>
      <c r="BK82" s="23"/>
      <c r="BL82" s="23"/>
      <c r="BM82" s="23"/>
      <c r="BN82" s="23"/>
      <c r="BO82" s="23"/>
      <c r="BT82" s="61"/>
      <c r="BU82" s="61"/>
      <c r="BV82" s="61" t="str">
        <f t="shared" si="33"/>
        <v/>
      </c>
      <c r="BW82" s="61" t="str">
        <f t="shared" si="31"/>
        <v/>
      </c>
      <c r="BX82" s="61" t="str">
        <f t="shared" si="32"/>
        <v xml:space="preserve">. </v>
      </c>
    </row>
    <row r="83" spans="1:76" ht="16" thickBot="1" x14ac:dyDescent="0.4">
      <c r="A83" s="23"/>
      <c r="B83" s="31"/>
      <c r="C83" s="63"/>
      <c r="D83" s="63"/>
      <c r="E83" s="63"/>
      <c r="F83" s="63"/>
      <c r="G83" s="522" t="s">
        <v>263</v>
      </c>
      <c r="H83" s="655"/>
      <c r="I83" s="655"/>
      <c r="J83" s="655"/>
      <c r="K83" s="655"/>
      <c r="L83" s="655"/>
      <c r="M83" s="656"/>
      <c r="N83" s="28"/>
      <c r="O83" s="28" t="s">
        <v>32</v>
      </c>
      <c r="P83" s="29" t="s">
        <v>33</v>
      </c>
      <c r="Q83" s="30"/>
      <c r="R83" s="30"/>
      <c r="S83" s="30"/>
      <c r="T83" s="30"/>
      <c r="U83" s="54"/>
      <c r="V83" s="23"/>
      <c r="W83" s="23"/>
      <c r="X83" s="54"/>
      <c r="Y83" s="23"/>
      <c r="Z83" s="23"/>
      <c r="AA83" s="54"/>
      <c r="AB83" s="23"/>
      <c r="AC83" s="23"/>
      <c r="AD83" s="54"/>
      <c r="AE83" s="23"/>
      <c r="AF83" s="23"/>
      <c r="AG83" s="54"/>
      <c r="AH83" s="23"/>
      <c r="AI83" s="23"/>
      <c r="AJ83" s="54"/>
      <c r="AK83" s="23"/>
      <c r="AL83" s="23"/>
      <c r="AM83" s="54"/>
      <c r="AN83" s="23"/>
      <c r="AO83" s="23"/>
      <c r="AP83" s="23"/>
      <c r="AQ83" s="54"/>
      <c r="AR83" s="23"/>
      <c r="AS83" s="23"/>
      <c r="AT83" s="54"/>
      <c r="AU83" s="23"/>
      <c r="AV83" s="23"/>
      <c r="AW83" s="54"/>
      <c r="AX83" s="23"/>
      <c r="AY83" s="23"/>
      <c r="AZ83" s="54"/>
      <c r="BA83" s="23"/>
      <c r="BB83" s="23"/>
      <c r="BC83" s="54"/>
      <c r="BD83" s="23"/>
      <c r="BE83" s="23"/>
      <c r="BF83" s="54"/>
      <c r="BG83" s="23"/>
      <c r="BH83" s="23"/>
      <c r="BI83" s="54"/>
      <c r="BJ83" s="23"/>
      <c r="BK83" s="23"/>
      <c r="BL83" s="23"/>
      <c r="BM83" s="23"/>
      <c r="BN83" s="23"/>
      <c r="BO83" s="23"/>
      <c r="BT83" s="30"/>
      <c r="BU83" s="30"/>
      <c r="BV83" s="30" t="str">
        <f t="shared" si="33"/>
        <v/>
      </c>
      <c r="BW83" s="30" t="str">
        <f t="shared" si="31"/>
        <v/>
      </c>
      <c r="BX83" s="30" t="str">
        <f t="shared" si="32"/>
        <v xml:space="preserve">. </v>
      </c>
    </row>
    <row r="84" spans="1:76" ht="39.5" thickBot="1" x14ac:dyDescent="0.4">
      <c r="A84" s="23"/>
      <c r="B84" s="31"/>
      <c r="C84" s="66" t="s">
        <v>264</v>
      </c>
      <c r="D84" s="163">
        <f>D80+1</f>
        <v>55</v>
      </c>
      <c r="E84" s="33" t="s">
        <v>39</v>
      </c>
      <c r="F84" s="167" t="s">
        <v>20</v>
      </c>
      <c r="G84" s="173" t="s">
        <v>265</v>
      </c>
      <c r="H84" s="174" t="s">
        <v>265</v>
      </c>
      <c r="I84" s="271"/>
      <c r="J84" s="175" t="s">
        <v>266</v>
      </c>
      <c r="K84" s="174" t="s">
        <v>267</v>
      </c>
      <c r="L84" s="174" t="s">
        <v>268</v>
      </c>
      <c r="M84" s="176" t="s">
        <v>269</v>
      </c>
      <c r="N84" s="129">
        <f>IF(Project!$B$27="On Highway",0,1)</f>
        <v>1</v>
      </c>
      <c r="O84" s="237">
        <f>IF(Scoring!O83="A",0,Scoring!O83)</f>
        <v>0</v>
      </c>
      <c r="P84" s="144">
        <f>IF(Scoring!P83="A",0,Scoring!P83)</f>
        <v>0</v>
      </c>
      <c r="Q84" s="129">
        <f>IF($N84=0,0,O84)</f>
        <v>0</v>
      </c>
      <c r="R84" s="34">
        <f>IF($N84=0,0,2)</f>
        <v>2</v>
      </c>
      <c r="S84" s="34">
        <f>IF($N84=0,0,Scoring!P83)</f>
        <v>0</v>
      </c>
      <c r="T84" s="34">
        <f>IF($N84=0,0,2)</f>
        <v>2</v>
      </c>
      <c r="U84" s="35" t="e">
        <f>IF(VLOOKUP($H84,'How the score is generated (H)'!$B$4:$H$72,2,0)="ü",$Q84,0)</f>
        <v>#N/A</v>
      </c>
      <c r="V84" s="36" t="e">
        <f>IF(VLOOKUP($H84,'How the score is generated (H)'!$B$4:$H$72,2,0)="ü",$S84,0)</f>
        <v>#N/A</v>
      </c>
      <c r="W84" s="145" t="e">
        <f>IF($N84=0,0,IF(VLOOKUP($H84,'How the score is generated (H)'!$B$4:$H$72,2,0)="ü",2,0))</f>
        <v>#N/A</v>
      </c>
      <c r="X84" s="35" t="e">
        <f>IF(VLOOKUP($H84,'How the score is generated (H)'!$B$4:$H$72,3,0)="ü",$Q84,0)</f>
        <v>#N/A</v>
      </c>
      <c r="Y84" s="36" t="e">
        <f>IF(VLOOKUP($H84,'How the score is generated (H)'!$B$4:$H$72,3,0)="ü",$S84,0)</f>
        <v>#N/A</v>
      </c>
      <c r="Z84" s="145" t="e">
        <f>IF($N84=0,0,IF(VLOOKUP($H84,'How the score is generated (H)'!$B$4:$H$72,3,0)="ü",2,0))</f>
        <v>#N/A</v>
      </c>
      <c r="AA84" s="35" t="e">
        <f>IF(VLOOKUP($H84,'How the score is generated (H)'!$B$4:$H$72,4,0)="ü",$Q84,0)</f>
        <v>#N/A</v>
      </c>
      <c r="AB84" s="36" t="e">
        <f>IF(VLOOKUP($H84,'How the score is generated (H)'!$B$4:$H$72,4,0)="ü",$S84,0)</f>
        <v>#N/A</v>
      </c>
      <c r="AC84" s="145" t="e">
        <f>IF($N84=0,0,IF(VLOOKUP($H84,'How the score is generated (H)'!$B$4:$H$72,4,0)="ü",2,0))</f>
        <v>#N/A</v>
      </c>
      <c r="AD84" s="35" t="e">
        <f>IF(VLOOKUP($H84,'How the score is generated (H)'!$B$4:$H$72,5,0)="ü",$Q84,0)</f>
        <v>#N/A</v>
      </c>
      <c r="AE84" s="36" t="e">
        <f>IF(VLOOKUP($H84,'How the score is generated (H)'!$B$4:$H$72,5,0)="ü",$S84,0)</f>
        <v>#N/A</v>
      </c>
      <c r="AF84" s="145" t="e">
        <f>IF($N84=0,0,IF(VLOOKUP($H84,'How the score is generated (H)'!$B$4:$H$72,5,0)="ü",2,0))</f>
        <v>#N/A</v>
      </c>
      <c r="AG84" s="35" t="e">
        <f>IF(VLOOKUP($H84,'How the score is generated (H)'!$B$4:$H$72,6,0)="ü",$Q84,0)</f>
        <v>#N/A</v>
      </c>
      <c r="AH84" s="36" t="e">
        <f>IF(VLOOKUP($H84,'How the score is generated (H)'!$B$4:$H$72,6,0)="ü",$S84,0)</f>
        <v>#N/A</v>
      </c>
      <c r="AI84" s="145" t="e">
        <f>IF($N84=0,0,IF(VLOOKUP($H84,'How the score is generated (H)'!$B$4:$H$72,6,0)="ü",2,0))</f>
        <v>#N/A</v>
      </c>
      <c r="AJ84" s="35" t="e">
        <f>IF(VLOOKUP($H84,'How the score is generated (H)'!$B$4:$H$72,7,0)="ü",$Q84,0)</f>
        <v>#N/A</v>
      </c>
      <c r="AK84" s="36" t="e">
        <f>IF(VLOOKUP($H84,'How the score is generated (H)'!$B$4:$H$72,7,0)="ü",$S84,0)</f>
        <v>#N/A</v>
      </c>
      <c r="AL84" s="145" t="e">
        <f>IF($N84=0,0,IF(VLOOKUP($H84,'How the score is generated (H)'!$B$4:$H$72,7,0)="ü",2,0))</f>
        <v>#N/A</v>
      </c>
      <c r="AM84" s="35" t="e">
        <f>IF(VLOOKUP($H84,'How the score is generated (H)'!$B$4:$H$72,8,0)="ü",$Q84,0)</f>
        <v>#N/A</v>
      </c>
      <c r="AN84" s="36" t="e">
        <f>IF(VLOOKUP($H84,'How the score is generated (H)'!$B$4:$H$72,8,0)="ü",$S84,0)</f>
        <v>#N/A</v>
      </c>
      <c r="AO84" s="145" t="e">
        <f>IF($N84=0,0,IF(VLOOKUP($H84,'How the score is generated (H)'!$B$4:$H$72,8,0)="ü",2,0))</f>
        <v>#N/A</v>
      </c>
      <c r="AP84" s="23"/>
      <c r="AQ84" s="35" t="e">
        <f>IF(VLOOKUP($H84,'How the score is generated (P)'!$B$4:$I$72,2,0)="ü",$Q84,0)</f>
        <v>#N/A</v>
      </c>
      <c r="AR84" s="36" t="e">
        <f>IF(VLOOKUP($H84,'How the score is generated (P)'!$B$4:$I$72,2,0)="ü",$S84,0)</f>
        <v>#N/A</v>
      </c>
      <c r="AS84" s="145" t="e">
        <f>IF($N84=0,0,IF(VLOOKUP($H84,'How the score is generated (P)'!$B$4:$I$72,2,0)="ü",2,0))</f>
        <v>#N/A</v>
      </c>
      <c r="AT84" s="35" t="e">
        <f>IF(VLOOKUP($H84,'How the score is generated (P)'!$B$4:$I$72,3,0)="ü",$Q84,0)</f>
        <v>#N/A</v>
      </c>
      <c r="AU84" s="36" t="e">
        <f>IF(VLOOKUP($H84,'How the score is generated (P)'!$B$4:$I$72,3,0)="ü",$S84,0)</f>
        <v>#N/A</v>
      </c>
      <c r="AV84" s="145" t="e">
        <f>IF($N84=0,0,IF(VLOOKUP($H84,'How the score is generated (P)'!$B$4:$I$72,3,0)="ü",2,0))</f>
        <v>#N/A</v>
      </c>
      <c r="AW84" s="35" t="e">
        <f>IF(VLOOKUP($H84,'How the score is generated (P)'!$B$4:$I$72,4,0)="ü",$Q84,0)</f>
        <v>#N/A</v>
      </c>
      <c r="AX84" s="36" t="e">
        <f>IF(VLOOKUP($H84,'How the score is generated (P)'!$B$4:$I$72,4,0)="ü",$S84,0)</f>
        <v>#N/A</v>
      </c>
      <c r="AY84" s="145" t="e">
        <f>IF($N84=0,0,IF(VLOOKUP($H84,'How the score is generated (P)'!$B$4:$I$72,4,0)="ü",2,0))</f>
        <v>#N/A</v>
      </c>
      <c r="AZ84" s="35" t="e">
        <f>IF(VLOOKUP($H84,'How the score is generated (P)'!$B$4:$I$72,5,0)="ü",$Q84,0)</f>
        <v>#N/A</v>
      </c>
      <c r="BA84" s="36" t="e">
        <f>IF(VLOOKUP($H84,'How the score is generated (P)'!$B$4:$I$72,5,0)="ü",$S84,0)</f>
        <v>#N/A</v>
      </c>
      <c r="BB84" s="145" t="e">
        <f>IF($N84=0,0,IF(VLOOKUP($H84,'How the score is generated (P)'!$B$4:$I$72,5,0)="ü",2,0))</f>
        <v>#N/A</v>
      </c>
      <c r="BC84" s="35" t="e">
        <f>IF(VLOOKUP($H84,'How the score is generated (P)'!$B$4:$I$72,6,0)="ü",$Q84,0)</f>
        <v>#N/A</v>
      </c>
      <c r="BD84" s="36" t="e">
        <f>IF(VLOOKUP($H84,'How the score is generated (P)'!$B$4:$I$72,6,0)="ü",$S84,0)</f>
        <v>#N/A</v>
      </c>
      <c r="BE84" s="145" t="e">
        <f>IF($N84=0,0,IF(VLOOKUP($H84,'How the score is generated (P)'!$B$4:$I$72,6,0)="ü",2,0))</f>
        <v>#N/A</v>
      </c>
      <c r="BF84" s="35" t="e">
        <f>IF(VLOOKUP($H84,'How the score is generated (P)'!$B$4:$I$72,7,0)="ü",$Q84,0)</f>
        <v>#N/A</v>
      </c>
      <c r="BG84" s="36" t="e">
        <f>IF(VLOOKUP($H84,'How the score is generated (P)'!$B$4:$I$72,7,0)="ü",$S84,0)</f>
        <v>#N/A</v>
      </c>
      <c r="BH84" s="145" t="e">
        <f>IF($N84=0,0,IF(VLOOKUP($H84,'How the score is generated (P)'!$B$4:$I$72,7,0)="ü",2,0))</f>
        <v>#N/A</v>
      </c>
      <c r="BI84" s="35" t="e">
        <f>IF(VLOOKUP($H84,'How the score is generated (P)'!$B$4:$I$72,8,0)="ü",$Q84,0)</f>
        <v>#N/A</v>
      </c>
      <c r="BJ84" s="36" t="e">
        <f>IF(VLOOKUP($H84,'How the score is generated (P)'!$B$4:$I$72,8,0)="ü",$S84,0)</f>
        <v>#N/A</v>
      </c>
      <c r="BK84" s="145" t="e">
        <f>IF($N84=0,0,IF(VLOOKUP($H84,'How the score is generated (P)'!$B$4:$I$72,8,0)="ü",2,0))</f>
        <v>#N/A</v>
      </c>
      <c r="BL84" s="23"/>
      <c r="BM84" s="201"/>
      <c r="BN84" s="23"/>
      <c r="BO84" s="146"/>
      <c r="BT84" s="34"/>
      <c r="BU84" s="34" t="str">
        <f>IF(BT84="Amber",IF(S84=0,"Residual Amber",""),"")</f>
        <v/>
      </c>
      <c r="BV84" s="34">
        <f t="shared" si="33"/>
        <v>0</v>
      </c>
      <c r="BW84" s="34">
        <f t="shared" si="31"/>
        <v>0</v>
      </c>
      <c r="BX84" s="34" t="str">
        <f t="shared" si="32"/>
        <v>55. Shared use</v>
      </c>
    </row>
    <row r="85" spans="1:76" ht="65.5" thickBot="1" x14ac:dyDescent="0.4">
      <c r="A85" s="23"/>
      <c r="B85" s="31"/>
      <c r="C85" s="66" t="s">
        <v>264</v>
      </c>
      <c r="D85" s="164">
        <f>D84+1</f>
        <v>56</v>
      </c>
      <c r="E85" s="44" t="s">
        <v>39</v>
      </c>
      <c r="F85" s="168" t="s">
        <v>20</v>
      </c>
      <c r="G85" s="39" t="s">
        <v>270</v>
      </c>
      <c r="H85" s="41" t="s">
        <v>270</v>
      </c>
      <c r="I85" s="272"/>
      <c r="J85" s="40" t="s">
        <v>271</v>
      </c>
      <c r="K85" s="41" t="s">
        <v>272</v>
      </c>
      <c r="L85" s="41" t="s">
        <v>43</v>
      </c>
      <c r="M85" s="42" t="s">
        <v>273</v>
      </c>
      <c r="N85" s="129">
        <f>IF(Project!$B$27="On Highway",0,1)</f>
        <v>1</v>
      </c>
      <c r="O85" s="237">
        <f>IF(Scoring!O84="A",0,Scoring!O84)</f>
        <v>0</v>
      </c>
      <c r="P85" s="144">
        <f>IF(Scoring!P84="A",0,Scoring!P84)</f>
        <v>0</v>
      </c>
      <c r="Q85" s="129">
        <f>IF($N85=0,0,O85)</f>
        <v>0</v>
      </c>
      <c r="R85" s="34">
        <f>IF($N85=0,0,2)</f>
        <v>2</v>
      </c>
      <c r="S85" s="34">
        <f>IF($N85=0,0,Scoring!P84)</f>
        <v>0</v>
      </c>
      <c r="T85" s="34">
        <f>IF($N85=0,0,2)</f>
        <v>2</v>
      </c>
      <c r="U85" s="35" t="e">
        <f>IF(VLOOKUP($H85,'How the score is generated (H)'!$B$4:$H$72,2,0)="ü",$Q85,0)</f>
        <v>#N/A</v>
      </c>
      <c r="V85" s="36" t="e">
        <f>IF(VLOOKUP($H85,'How the score is generated (H)'!$B$4:$H$72,2,0)="ü",$S85,0)</f>
        <v>#N/A</v>
      </c>
      <c r="W85" s="145" t="e">
        <f>IF($N85=0,0,IF(VLOOKUP($H85,'How the score is generated (H)'!$B$4:$H$72,2,0)="ü",2,0))</f>
        <v>#N/A</v>
      </c>
      <c r="X85" s="35" t="e">
        <f>IF(VLOOKUP($H85,'How the score is generated (H)'!$B$4:$H$72,3,0)="ü",$Q85,0)</f>
        <v>#N/A</v>
      </c>
      <c r="Y85" s="36" t="e">
        <f>IF(VLOOKUP($H85,'How the score is generated (H)'!$B$4:$H$72,3,0)="ü",$S85,0)</f>
        <v>#N/A</v>
      </c>
      <c r="Z85" s="145" t="e">
        <f>IF($N85=0,0,IF(VLOOKUP($H85,'How the score is generated (H)'!$B$4:$H$72,3,0)="ü",2,0))</f>
        <v>#N/A</v>
      </c>
      <c r="AA85" s="35" t="e">
        <f>IF(VLOOKUP($H85,'How the score is generated (H)'!$B$4:$H$72,4,0)="ü",$Q85,0)</f>
        <v>#N/A</v>
      </c>
      <c r="AB85" s="36" t="e">
        <f>IF(VLOOKUP($H85,'How the score is generated (H)'!$B$4:$H$72,4,0)="ü",$S85,0)</f>
        <v>#N/A</v>
      </c>
      <c r="AC85" s="145" t="e">
        <f>IF($N85=0,0,IF(VLOOKUP($H85,'How the score is generated (H)'!$B$4:$H$72,4,0)="ü",2,0))</f>
        <v>#N/A</v>
      </c>
      <c r="AD85" s="35" t="e">
        <f>IF(VLOOKUP($H85,'How the score is generated (H)'!$B$4:$H$72,5,0)="ü",$Q85,0)</f>
        <v>#N/A</v>
      </c>
      <c r="AE85" s="36" t="e">
        <f>IF(VLOOKUP($H85,'How the score is generated (H)'!$B$4:$H$72,5,0)="ü",$S85,0)</f>
        <v>#N/A</v>
      </c>
      <c r="AF85" s="145" t="e">
        <f>IF($N85=0,0,IF(VLOOKUP($H85,'How the score is generated (H)'!$B$4:$H$72,5,0)="ü",2,0))</f>
        <v>#N/A</v>
      </c>
      <c r="AG85" s="35" t="e">
        <f>IF(VLOOKUP($H85,'How the score is generated (H)'!$B$4:$H$72,6,0)="ü",$Q85,0)</f>
        <v>#N/A</v>
      </c>
      <c r="AH85" s="36" t="e">
        <f>IF(VLOOKUP($H85,'How the score is generated (H)'!$B$4:$H$72,6,0)="ü",$S85,0)</f>
        <v>#N/A</v>
      </c>
      <c r="AI85" s="145" t="e">
        <f>IF($N85=0,0,IF(VLOOKUP($H85,'How the score is generated (H)'!$B$4:$H$72,6,0)="ü",2,0))</f>
        <v>#N/A</v>
      </c>
      <c r="AJ85" s="35" t="e">
        <f>IF(VLOOKUP($H85,'How the score is generated (H)'!$B$4:$H$72,7,0)="ü",$Q85,0)</f>
        <v>#N/A</v>
      </c>
      <c r="AK85" s="36" t="e">
        <f>IF(VLOOKUP($H85,'How the score is generated (H)'!$B$4:$H$72,7,0)="ü",$S85,0)</f>
        <v>#N/A</v>
      </c>
      <c r="AL85" s="145" t="e">
        <f>IF($N85=0,0,IF(VLOOKUP($H85,'How the score is generated (H)'!$B$4:$H$72,7,0)="ü",2,0))</f>
        <v>#N/A</v>
      </c>
      <c r="AM85" s="35" t="e">
        <f>IF(VLOOKUP($H85,'How the score is generated (H)'!$B$4:$H$72,8,0)="ü",$Q85,0)</f>
        <v>#N/A</v>
      </c>
      <c r="AN85" s="36" t="e">
        <f>IF(VLOOKUP($H85,'How the score is generated (H)'!$B$4:$H$72,8,0)="ü",$S85,0)</f>
        <v>#N/A</v>
      </c>
      <c r="AO85" s="145" t="e">
        <f>IF($N85=0,0,IF(VLOOKUP($H85,'How the score is generated (H)'!$B$4:$H$72,8,0)="ü",2,0))</f>
        <v>#N/A</v>
      </c>
      <c r="AP85" s="23"/>
      <c r="AQ85" s="35" t="e">
        <f>IF(VLOOKUP($H85,'How the score is generated (P)'!$B$4:$I$72,2,0)="ü",$Q85,0)</f>
        <v>#N/A</v>
      </c>
      <c r="AR85" s="36" t="e">
        <f>IF(VLOOKUP($H85,'How the score is generated (P)'!$B$4:$I$72,2,0)="ü",$S85,0)</f>
        <v>#N/A</v>
      </c>
      <c r="AS85" s="145" t="e">
        <f>IF($N85=0,0,IF(VLOOKUP($H85,'How the score is generated (P)'!$B$4:$I$72,2,0)="ü",2,0))</f>
        <v>#N/A</v>
      </c>
      <c r="AT85" s="35" t="e">
        <f>IF(VLOOKUP($H85,'How the score is generated (P)'!$B$4:$I$72,3,0)="ü",$Q85,0)</f>
        <v>#N/A</v>
      </c>
      <c r="AU85" s="36" t="e">
        <f>IF(VLOOKUP($H85,'How the score is generated (P)'!$B$4:$I$72,3,0)="ü",$S85,0)</f>
        <v>#N/A</v>
      </c>
      <c r="AV85" s="145" t="e">
        <f>IF($N85=0,0,IF(VLOOKUP($H85,'How the score is generated (P)'!$B$4:$I$72,3,0)="ü",2,0))</f>
        <v>#N/A</v>
      </c>
      <c r="AW85" s="35" t="e">
        <f>IF(VLOOKUP($H85,'How the score is generated (P)'!$B$4:$I$72,4,0)="ü",$Q85,0)</f>
        <v>#N/A</v>
      </c>
      <c r="AX85" s="36" t="e">
        <f>IF(VLOOKUP($H85,'How the score is generated (P)'!$B$4:$I$72,4,0)="ü",$S85,0)</f>
        <v>#N/A</v>
      </c>
      <c r="AY85" s="145" t="e">
        <f>IF($N85=0,0,IF(VLOOKUP($H85,'How the score is generated (P)'!$B$4:$I$72,4,0)="ü",2,0))</f>
        <v>#N/A</v>
      </c>
      <c r="AZ85" s="35" t="e">
        <f>IF(VLOOKUP($H85,'How the score is generated (P)'!$B$4:$I$72,5,0)="ü",$Q85,0)</f>
        <v>#N/A</v>
      </c>
      <c r="BA85" s="36" t="e">
        <f>IF(VLOOKUP($H85,'How the score is generated (P)'!$B$4:$I$72,5,0)="ü",$S85,0)</f>
        <v>#N/A</v>
      </c>
      <c r="BB85" s="145" t="e">
        <f>IF($N85=0,0,IF(VLOOKUP($H85,'How the score is generated (P)'!$B$4:$I$72,5,0)="ü",2,0))</f>
        <v>#N/A</v>
      </c>
      <c r="BC85" s="35" t="e">
        <f>IF(VLOOKUP($H85,'How the score is generated (P)'!$B$4:$I$72,6,0)="ü",$Q85,0)</f>
        <v>#N/A</v>
      </c>
      <c r="BD85" s="36" t="e">
        <f>IF(VLOOKUP($H85,'How the score is generated (P)'!$B$4:$I$72,6,0)="ü",$S85,0)</f>
        <v>#N/A</v>
      </c>
      <c r="BE85" s="145" t="e">
        <f>IF($N85=0,0,IF(VLOOKUP($H85,'How the score is generated (P)'!$B$4:$I$72,6,0)="ü",2,0))</f>
        <v>#N/A</v>
      </c>
      <c r="BF85" s="35" t="e">
        <f>IF(VLOOKUP($H85,'How the score is generated (P)'!$B$4:$I$72,7,0)="ü",$Q85,0)</f>
        <v>#N/A</v>
      </c>
      <c r="BG85" s="36" t="e">
        <f>IF(VLOOKUP($H85,'How the score is generated (P)'!$B$4:$I$72,7,0)="ü",$S85,0)</f>
        <v>#N/A</v>
      </c>
      <c r="BH85" s="145" t="e">
        <f>IF($N85=0,0,IF(VLOOKUP($H85,'How the score is generated (P)'!$B$4:$I$72,7,0)="ü",2,0))</f>
        <v>#N/A</v>
      </c>
      <c r="BI85" s="35" t="e">
        <f>IF(VLOOKUP($H85,'How the score is generated (P)'!$B$4:$I$72,8,0)="ü",$Q85,0)</f>
        <v>#N/A</v>
      </c>
      <c r="BJ85" s="36" t="e">
        <f>IF(VLOOKUP($H85,'How the score is generated (P)'!$B$4:$I$72,8,0)="ü",$S85,0)</f>
        <v>#N/A</v>
      </c>
      <c r="BK85" s="145" t="e">
        <f>IF($N85=0,0,IF(VLOOKUP($H85,'How the score is generated (P)'!$B$4:$I$72,8,0)="ü",2,0))</f>
        <v>#N/A</v>
      </c>
      <c r="BL85" s="23"/>
      <c r="BM85" s="201"/>
      <c r="BN85" s="23"/>
      <c r="BO85" s="146"/>
      <c r="BT85" s="34"/>
      <c r="BU85" s="34" t="str">
        <f>IF(BT85="Amber",IF(S85=0,"Residual Amber",""),"")</f>
        <v/>
      </c>
      <c r="BV85" s="34">
        <f t="shared" si="33"/>
        <v>0</v>
      </c>
      <c r="BW85" s="34">
        <f t="shared" si="31"/>
        <v>0</v>
      </c>
      <c r="BX85" s="34" t="str">
        <f t="shared" si="32"/>
        <v>56. Barriers</v>
      </c>
    </row>
    <row r="86" spans="1:76" ht="39.5" thickBot="1" x14ac:dyDescent="0.4">
      <c r="A86" s="23"/>
      <c r="B86" s="31"/>
      <c r="C86" s="66" t="s">
        <v>264</v>
      </c>
      <c r="D86" s="164">
        <f>D85+1</f>
        <v>57</v>
      </c>
      <c r="E86" s="44" t="s">
        <v>39</v>
      </c>
      <c r="F86" s="168" t="s">
        <v>20</v>
      </c>
      <c r="G86" s="39" t="s">
        <v>274</v>
      </c>
      <c r="H86" s="41" t="s">
        <v>275</v>
      </c>
      <c r="I86" s="272"/>
      <c r="J86" s="40" t="s">
        <v>276</v>
      </c>
      <c r="K86" s="41" t="s">
        <v>277</v>
      </c>
      <c r="L86" s="41" t="s">
        <v>278</v>
      </c>
      <c r="M86" s="42" t="s">
        <v>279</v>
      </c>
      <c r="N86" s="129">
        <f>IF(Project!$B$27="On Highway",0,1)</f>
        <v>1</v>
      </c>
      <c r="O86" s="237">
        <f>IF(Scoring!O85="A",0,Scoring!O85)</f>
        <v>0</v>
      </c>
      <c r="P86" s="144">
        <f>IF(Scoring!P85="A",0,Scoring!P85)</f>
        <v>0</v>
      </c>
      <c r="Q86" s="129">
        <f>IF($N86=0,0,O86)</f>
        <v>0</v>
      </c>
      <c r="R86" s="34">
        <f>IF($N86=0,0,2)</f>
        <v>2</v>
      </c>
      <c r="S86" s="34">
        <f>IF($N86=0,0,Scoring!P85)</f>
        <v>0</v>
      </c>
      <c r="T86" s="34">
        <f>IF($N86=0,0,2)</f>
        <v>2</v>
      </c>
      <c r="U86" s="35">
        <f>IF(VLOOKUP($H86,'How the score is generated (H)'!$B$4:$H$72,2,0)="ü",$Q86,0)</f>
        <v>0</v>
      </c>
      <c r="V86" s="36">
        <f>IF(VLOOKUP($H86,'How the score is generated (H)'!$B$4:$H$72,2,0)="ü",$S86,0)</f>
        <v>0</v>
      </c>
      <c r="W86" s="145">
        <f>IF($N86=0,0,IF(VLOOKUP($H86,'How the score is generated (H)'!$B$4:$H$72,2,0)="ü",2,0))</f>
        <v>2</v>
      </c>
      <c r="X86" s="35">
        <f>IF(VLOOKUP($H86,'How the score is generated (H)'!$B$4:$H$72,3,0)="ü",$Q86,0)</f>
        <v>0</v>
      </c>
      <c r="Y86" s="36">
        <f>IF(VLOOKUP($H86,'How the score is generated (H)'!$B$4:$H$72,3,0)="ü",$S86,0)</f>
        <v>0</v>
      </c>
      <c r="Z86" s="145">
        <f>IF($N86=0,0,IF(VLOOKUP($H86,'How the score is generated (H)'!$B$4:$H$72,3,0)="ü",2,0))</f>
        <v>2</v>
      </c>
      <c r="AA86" s="35">
        <f>IF(VLOOKUP($H86,'How the score is generated (H)'!$B$4:$H$72,4,0)="ü",$Q86,0)</f>
        <v>0</v>
      </c>
      <c r="AB86" s="36">
        <f>IF(VLOOKUP($H86,'How the score is generated (H)'!$B$4:$H$72,4,0)="ü",$S86,0)</f>
        <v>0</v>
      </c>
      <c r="AC86" s="145">
        <f>IF($N86=0,0,IF(VLOOKUP($H86,'How the score is generated (H)'!$B$4:$H$72,4,0)="ü",2,0))</f>
        <v>2</v>
      </c>
      <c r="AD86" s="35">
        <f>IF(VLOOKUP($H86,'How the score is generated (H)'!$B$4:$H$72,5,0)="ü",$Q86,0)</f>
        <v>0</v>
      </c>
      <c r="AE86" s="36">
        <f>IF(VLOOKUP($H86,'How the score is generated (H)'!$B$4:$H$72,5,0)="ü",$S86,0)</f>
        <v>0</v>
      </c>
      <c r="AF86" s="145">
        <f>IF($N86=0,0,IF(VLOOKUP($H86,'How the score is generated (H)'!$B$4:$H$72,5,0)="ü",2,0))</f>
        <v>0</v>
      </c>
      <c r="AG86" s="35">
        <f>IF(VLOOKUP($H86,'How the score is generated (H)'!$B$4:$H$72,6,0)="ü",$Q86,0)</f>
        <v>0</v>
      </c>
      <c r="AH86" s="36">
        <f>IF(VLOOKUP($H86,'How the score is generated (H)'!$B$4:$H$72,6,0)="ü",$S86,0)</f>
        <v>0</v>
      </c>
      <c r="AI86" s="145">
        <f>IF($N86=0,0,IF(VLOOKUP($H86,'How the score is generated (H)'!$B$4:$H$72,6,0)="ü",2,0))</f>
        <v>0</v>
      </c>
      <c r="AJ86" s="35">
        <f>IF(VLOOKUP($H86,'How the score is generated (H)'!$B$4:$H$72,7,0)="ü",$Q86,0)</f>
        <v>0</v>
      </c>
      <c r="AK86" s="36">
        <f>IF(VLOOKUP($H86,'How the score is generated (H)'!$B$4:$H$72,7,0)="ü",$S86,0)</f>
        <v>0</v>
      </c>
      <c r="AL86" s="145">
        <f>IF($N86=0,0,IF(VLOOKUP($H86,'How the score is generated (H)'!$B$4:$H$72,7,0)="ü",2,0))</f>
        <v>0</v>
      </c>
      <c r="AM86" s="35" t="e">
        <f>IF(VLOOKUP($H86,'How the score is generated (H)'!$B$4:$H$72,8,0)="ü",$Q86,0)</f>
        <v>#REF!</v>
      </c>
      <c r="AN86" s="36" t="e">
        <f>IF(VLOOKUP($H86,'How the score is generated (H)'!$B$4:$H$72,8,0)="ü",$S86,0)</f>
        <v>#REF!</v>
      </c>
      <c r="AO86" s="145" t="e">
        <f>IF($N86=0,0,IF(VLOOKUP($H86,'How the score is generated (H)'!$B$4:$H$72,8,0)="ü",2,0))</f>
        <v>#REF!</v>
      </c>
      <c r="AP86" s="23"/>
      <c r="AQ86" s="35">
        <f>IF(VLOOKUP($H86,'How the score is generated (P)'!$B$4:$I$72,2,0)="ü",$Q86,0)</f>
        <v>0</v>
      </c>
      <c r="AR86" s="36">
        <f>IF(VLOOKUP($H86,'How the score is generated (P)'!$B$4:$I$72,2,0)="ü",$S86,0)</f>
        <v>0</v>
      </c>
      <c r="AS86" s="145">
        <f>IF($N86=0,0,IF(VLOOKUP($H86,'How the score is generated (P)'!$B$4:$I$72,2,0)="ü",2,0))</f>
        <v>0</v>
      </c>
      <c r="AT86" s="35">
        <f>IF(VLOOKUP($H86,'How the score is generated (P)'!$B$4:$I$72,3,0)="ü",$Q86,0)</f>
        <v>0</v>
      </c>
      <c r="AU86" s="36">
        <f>IF(VLOOKUP($H86,'How the score is generated (P)'!$B$4:$I$72,3,0)="ü",$S86,0)</f>
        <v>0</v>
      </c>
      <c r="AV86" s="145">
        <f>IF($N86=0,0,IF(VLOOKUP($H86,'How the score is generated (P)'!$B$4:$I$72,3,0)="ü",2,0))</f>
        <v>0</v>
      </c>
      <c r="AW86" s="35">
        <f>IF(VLOOKUP($H86,'How the score is generated (P)'!$B$4:$I$72,4,0)="ü",$Q86,0)</f>
        <v>0</v>
      </c>
      <c r="AX86" s="36">
        <f>IF(VLOOKUP($H86,'How the score is generated (P)'!$B$4:$I$72,4,0)="ü",$S86,0)</f>
        <v>0</v>
      </c>
      <c r="AY86" s="145">
        <f>IF($N86=0,0,IF(VLOOKUP($H86,'How the score is generated (P)'!$B$4:$I$72,4,0)="ü",2,0))</f>
        <v>0</v>
      </c>
      <c r="AZ86" s="35">
        <f>IF(VLOOKUP($H86,'How the score is generated (P)'!$B$4:$I$72,5,0)="ü",$Q86,0)</f>
        <v>0</v>
      </c>
      <c r="BA86" s="36">
        <f>IF(VLOOKUP($H86,'How the score is generated (P)'!$B$4:$I$72,5,0)="ü",$S86,0)</f>
        <v>0</v>
      </c>
      <c r="BB86" s="145">
        <f>IF($N86=0,0,IF(VLOOKUP($H86,'How the score is generated (P)'!$B$4:$I$72,5,0)="ü",2,0))</f>
        <v>0</v>
      </c>
      <c r="BC86" s="35">
        <f>IF(VLOOKUP($H86,'How the score is generated (P)'!$B$4:$I$72,6,0)="ü",$Q86,0)</f>
        <v>0</v>
      </c>
      <c r="BD86" s="36">
        <f>IF(VLOOKUP($H86,'How the score is generated (P)'!$B$4:$I$72,6,0)="ü",$S86,0)</f>
        <v>0</v>
      </c>
      <c r="BE86" s="145">
        <f>IF($N86=0,0,IF(VLOOKUP($H86,'How the score is generated (P)'!$B$4:$I$72,6,0)="ü",2,0))</f>
        <v>0</v>
      </c>
      <c r="BF86" s="35">
        <f>IF(VLOOKUP($H86,'How the score is generated (P)'!$B$4:$I$72,7,0)="ü",$Q86,0)</f>
        <v>0</v>
      </c>
      <c r="BG86" s="36">
        <f>IF(VLOOKUP($H86,'How the score is generated (P)'!$B$4:$I$72,7,0)="ü",$S86,0)</f>
        <v>0</v>
      </c>
      <c r="BH86" s="145">
        <f>IF($N86=0,0,IF(VLOOKUP($H86,'How the score is generated (P)'!$B$4:$I$72,7,0)="ü",2,0))</f>
        <v>0</v>
      </c>
      <c r="BI86" s="35">
        <f>IF(VLOOKUP($H86,'How the score is generated (P)'!$B$4:$I$72,8,0)="ü",$Q86,0)</f>
        <v>0</v>
      </c>
      <c r="BJ86" s="36">
        <f>IF(VLOOKUP($H86,'How the score is generated (P)'!$B$4:$I$72,8,0)="ü",$S86,0)</f>
        <v>0</v>
      </c>
      <c r="BK86" s="145">
        <f>IF($N86=0,0,IF(VLOOKUP($H86,'How the score is generated (P)'!$B$4:$I$72,8,0)="ü",2,0))</f>
        <v>0</v>
      </c>
      <c r="BL86" s="23"/>
      <c r="BM86" s="201"/>
      <c r="BN86" s="23"/>
      <c r="BO86" s="146"/>
      <c r="BT86" s="34"/>
      <c r="BU86" s="34" t="str">
        <f>IF(BT86="Amber",IF(S86=0,"Residual Amber",""),"")</f>
        <v/>
      </c>
      <c r="BV86" s="34">
        <f t="shared" si="33"/>
        <v>0</v>
      </c>
      <c r="BW86" s="34">
        <f t="shared" si="31"/>
        <v>0</v>
      </c>
      <c r="BX86" s="34" t="str">
        <f t="shared" si="32"/>
        <v>57. Surface/Construction type</v>
      </c>
    </row>
    <row r="87" spans="1:76" ht="26.5" thickBot="1" x14ac:dyDescent="0.4">
      <c r="A87" s="23"/>
      <c r="B87" s="31"/>
      <c r="C87" s="209" t="s">
        <v>264</v>
      </c>
      <c r="D87" s="164">
        <f>D86+1</f>
        <v>58</v>
      </c>
      <c r="E87" s="44" t="s">
        <v>39</v>
      </c>
      <c r="F87" s="168" t="s">
        <v>20</v>
      </c>
      <c r="G87" s="39" t="s">
        <v>167</v>
      </c>
      <c r="H87" s="41" t="s">
        <v>280</v>
      </c>
      <c r="I87" s="272"/>
      <c r="J87" s="40" t="s">
        <v>281</v>
      </c>
      <c r="K87" s="41" t="s">
        <v>282</v>
      </c>
      <c r="L87" s="41" t="s">
        <v>283</v>
      </c>
      <c r="M87" s="42" t="s">
        <v>284</v>
      </c>
      <c r="N87" s="129">
        <f>IF(Project!$B$27="On Highway",0,1)</f>
        <v>1</v>
      </c>
      <c r="O87" s="237">
        <f>IF(Scoring!O86="A",0,Scoring!O86)</f>
        <v>0</v>
      </c>
      <c r="P87" s="144">
        <f>IF(Scoring!P86="A",0,Scoring!P86)</f>
        <v>0</v>
      </c>
      <c r="Q87" s="129">
        <f>IF($N87=0,0,O87)</f>
        <v>0</v>
      </c>
      <c r="R87" s="34">
        <f>IF($N87=0,0,2)</f>
        <v>2</v>
      </c>
      <c r="S87" s="34">
        <f>IF($N87=0,0,Scoring!P86)</f>
        <v>0</v>
      </c>
      <c r="T87" s="34">
        <f>IF($N87=0,0,2)</f>
        <v>2</v>
      </c>
      <c r="U87" s="35">
        <f>IF(VLOOKUP($H87,'How the score is generated (H)'!$B$4:$H$72,2,0)="ü",$Q87,0)</f>
        <v>0</v>
      </c>
      <c r="V87" s="36">
        <f>IF(VLOOKUP($H87,'How the score is generated (H)'!$B$4:$H$72,2,0)="ü",$S87,0)</f>
        <v>0</v>
      </c>
      <c r="W87" s="145">
        <f>IF($N87=0,0,IF(VLOOKUP($H87,'How the score is generated (H)'!$B$4:$H$72,2,0)="ü",2,0))</f>
        <v>2</v>
      </c>
      <c r="X87" s="35">
        <f>IF(VLOOKUP($H87,'How the score is generated (H)'!$B$4:$H$72,3,0)="ü",$Q87,0)</f>
        <v>0</v>
      </c>
      <c r="Y87" s="36">
        <f>IF(VLOOKUP($H87,'How the score is generated (H)'!$B$4:$H$72,3,0)="ü",$S87,0)</f>
        <v>0</v>
      </c>
      <c r="Z87" s="145">
        <f>IF($N87=0,0,IF(VLOOKUP($H87,'How the score is generated (H)'!$B$4:$H$72,3,0)="ü",2,0))</f>
        <v>2</v>
      </c>
      <c r="AA87" s="35">
        <f>IF(VLOOKUP($H87,'How the score is generated (H)'!$B$4:$H$72,4,0)="ü",$Q87,0)</f>
        <v>0</v>
      </c>
      <c r="AB87" s="36">
        <f>IF(VLOOKUP($H87,'How the score is generated (H)'!$B$4:$H$72,4,0)="ü",$S87,0)</f>
        <v>0</v>
      </c>
      <c r="AC87" s="145">
        <f>IF($N87=0,0,IF(VLOOKUP($H87,'How the score is generated (H)'!$B$4:$H$72,4,0)="ü",2,0))</f>
        <v>2</v>
      </c>
      <c r="AD87" s="35">
        <f>IF(VLOOKUP($H87,'How the score is generated (H)'!$B$4:$H$72,5,0)="ü",$Q87,0)</f>
        <v>0</v>
      </c>
      <c r="AE87" s="36">
        <f>IF(VLOOKUP($H87,'How the score is generated (H)'!$B$4:$H$72,5,0)="ü",$S87,0)</f>
        <v>0</v>
      </c>
      <c r="AF87" s="145">
        <f>IF($N87=0,0,IF(VLOOKUP($H87,'How the score is generated (H)'!$B$4:$H$72,5,0)="ü",2,0))</f>
        <v>0</v>
      </c>
      <c r="AG87" s="35">
        <f>IF(VLOOKUP($H87,'How the score is generated (H)'!$B$4:$H$72,6,0)="ü",$Q87,0)</f>
        <v>0</v>
      </c>
      <c r="AH87" s="36">
        <f>IF(VLOOKUP($H87,'How the score is generated (H)'!$B$4:$H$72,6,0)="ü",$S87,0)</f>
        <v>0</v>
      </c>
      <c r="AI87" s="145">
        <f>IF($N87=0,0,IF(VLOOKUP($H87,'How the score is generated (H)'!$B$4:$H$72,6,0)="ü",2,0))</f>
        <v>2</v>
      </c>
      <c r="AJ87" s="35">
        <f>IF(VLOOKUP($H87,'How the score is generated (H)'!$B$4:$H$72,7,0)="ü",$Q87,0)</f>
        <v>0</v>
      </c>
      <c r="AK87" s="36">
        <f>IF(VLOOKUP($H87,'How the score is generated (H)'!$B$4:$H$72,7,0)="ü",$S87,0)</f>
        <v>0</v>
      </c>
      <c r="AL87" s="145">
        <f>IF($N87=0,0,IF(VLOOKUP($H87,'How the score is generated (H)'!$B$4:$H$72,7,0)="ü",2,0))</f>
        <v>0</v>
      </c>
      <c r="AM87" s="35" t="e">
        <f>IF(VLOOKUP($H87,'How the score is generated (H)'!$B$4:$H$72,8,0)="ü",$Q87,0)</f>
        <v>#REF!</v>
      </c>
      <c r="AN87" s="36" t="e">
        <f>IF(VLOOKUP($H87,'How the score is generated (H)'!$B$4:$H$72,8,0)="ü",$S87,0)</f>
        <v>#REF!</v>
      </c>
      <c r="AO87" s="145" t="e">
        <f>IF($N87=0,0,IF(VLOOKUP($H87,'How the score is generated (H)'!$B$4:$H$72,8,0)="ü",2,0))</f>
        <v>#REF!</v>
      </c>
      <c r="AP87" s="23"/>
      <c r="AQ87" s="35">
        <f>IF(VLOOKUP($H87,'How the score is generated (P)'!$B$4:$I$72,2,0)="ü",$Q87,0)</f>
        <v>0</v>
      </c>
      <c r="AR87" s="36">
        <f>IF(VLOOKUP($H87,'How the score is generated (P)'!$B$4:$I$72,2,0)="ü",$S87,0)</f>
        <v>0</v>
      </c>
      <c r="AS87" s="145">
        <f>IF($N87=0,0,IF(VLOOKUP($H87,'How the score is generated (P)'!$B$4:$I$72,2,0)="ü",2,0))</f>
        <v>2</v>
      </c>
      <c r="AT87" s="35">
        <f>IF(VLOOKUP($H87,'How the score is generated (P)'!$B$4:$I$72,3,0)="ü",$Q87,0)</f>
        <v>0</v>
      </c>
      <c r="AU87" s="36">
        <f>IF(VLOOKUP($H87,'How the score is generated (P)'!$B$4:$I$72,3,0)="ü",$S87,0)</f>
        <v>0</v>
      </c>
      <c r="AV87" s="145">
        <f>IF($N87=0,0,IF(VLOOKUP($H87,'How the score is generated (P)'!$B$4:$I$72,3,0)="ü",2,0))</f>
        <v>2</v>
      </c>
      <c r="AW87" s="35">
        <f>IF(VLOOKUP($H87,'How the score is generated (P)'!$B$4:$I$72,4,0)="ü",$Q87,0)</f>
        <v>0</v>
      </c>
      <c r="AX87" s="36">
        <f>IF(VLOOKUP($H87,'How the score is generated (P)'!$B$4:$I$72,4,0)="ü",$S87,0)</f>
        <v>0</v>
      </c>
      <c r="AY87" s="145">
        <f>IF($N87=0,0,IF(VLOOKUP($H87,'How the score is generated (P)'!$B$4:$I$72,4,0)="ü",2,0))</f>
        <v>0</v>
      </c>
      <c r="AZ87" s="35">
        <f>IF(VLOOKUP($H87,'How the score is generated (P)'!$B$4:$I$72,5,0)="ü",$Q87,0)</f>
        <v>0</v>
      </c>
      <c r="BA87" s="36">
        <f>IF(VLOOKUP($H87,'How the score is generated (P)'!$B$4:$I$72,5,0)="ü",$S87,0)</f>
        <v>0</v>
      </c>
      <c r="BB87" s="145">
        <f>IF($N87=0,0,IF(VLOOKUP($H87,'How the score is generated (P)'!$B$4:$I$72,5,0)="ü",2,0))</f>
        <v>2</v>
      </c>
      <c r="BC87" s="35">
        <f>IF(VLOOKUP($H87,'How the score is generated (P)'!$B$4:$I$72,6,0)="ü",$Q87,0)</f>
        <v>0</v>
      </c>
      <c r="BD87" s="36">
        <f>IF(VLOOKUP($H87,'How the score is generated (P)'!$B$4:$I$72,6,0)="ü",$S87,0)</f>
        <v>0</v>
      </c>
      <c r="BE87" s="145">
        <f>IF($N87=0,0,IF(VLOOKUP($H87,'How the score is generated (P)'!$B$4:$I$72,6,0)="ü",2,0))</f>
        <v>2</v>
      </c>
      <c r="BF87" s="35">
        <f>IF(VLOOKUP($H87,'How the score is generated (P)'!$B$4:$I$72,7,0)="ü",$Q87,0)</f>
        <v>0</v>
      </c>
      <c r="BG87" s="36">
        <f>IF(VLOOKUP($H87,'How the score is generated (P)'!$B$4:$I$72,7,0)="ü",$S87,0)</f>
        <v>0</v>
      </c>
      <c r="BH87" s="145">
        <f>IF($N87=0,0,IF(VLOOKUP($H87,'How the score is generated (P)'!$B$4:$I$72,7,0)="ü",2,0))</f>
        <v>2</v>
      </c>
      <c r="BI87" s="35">
        <f>IF(VLOOKUP($H87,'How the score is generated (P)'!$B$4:$I$72,8,0)="ü",$Q87,0)</f>
        <v>0</v>
      </c>
      <c r="BJ87" s="36">
        <f>IF(VLOOKUP($H87,'How the score is generated (P)'!$B$4:$I$72,8,0)="ü",$S87,0)</f>
        <v>0</v>
      </c>
      <c r="BK87" s="145">
        <f>IF($N87=0,0,IF(VLOOKUP($H87,'How the score is generated (P)'!$B$4:$I$72,8,0)="ü",2,0))</f>
        <v>0</v>
      </c>
      <c r="BL87" s="23"/>
      <c r="BM87" s="201"/>
      <c r="BN87" s="23"/>
      <c r="BO87" s="146"/>
      <c r="BT87" s="34"/>
      <c r="BU87" s="34" t="str">
        <f>IF(BT87="Amber",IF(S87=0,"Residual Amber",""),"")</f>
        <v/>
      </c>
      <c r="BV87" s="34">
        <f t="shared" si="33"/>
        <v>0</v>
      </c>
      <c r="BW87" s="34">
        <f t="shared" si="31"/>
        <v>0</v>
      </c>
      <c r="BX87" s="34" t="str">
        <f t="shared" si="32"/>
        <v>58. Standard of lighting</v>
      </c>
    </row>
    <row r="88" spans="1:76" ht="79" customHeight="1" thickBot="1" x14ac:dyDescent="0.4">
      <c r="A88" s="23"/>
      <c r="B88" s="70"/>
      <c r="C88" s="65" t="s">
        <v>264</v>
      </c>
      <c r="D88" s="165">
        <f>D87+1</f>
        <v>59</v>
      </c>
      <c r="E88" s="46" t="s">
        <v>39</v>
      </c>
      <c r="F88" s="169" t="s">
        <v>20</v>
      </c>
      <c r="G88" s="177" t="s">
        <v>285</v>
      </c>
      <c r="H88" s="178" t="s">
        <v>286</v>
      </c>
      <c r="I88" s="273"/>
      <c r="J88" s="196" t="s">
        <v>287</v>
      </c>
      <c r="K88" s="178" t="s">
        <v>288</v>
      </c>
      <c r="L88" s="178" t="s">
        <v>43</v>
      </c>
      <c r="M88" s="180" t="s">
        <v>289</v>
      </c>
      <c r="N88" s="129">
        <f>IF(Project!$B$27="On Highway",0,1)</f>
        <v>1</v>
      </c>
      <c r="O88" s="237">
        <f>IF(Scoring!O87="A",0,Scoring!O87)</f>
        <v>0</v>
      </c>
      <c r="P88" s="144">
        <f>IF(Scoring!P87="A",0,Scoring!P87)</f>
        <v>0</v>
      </c>
      <c r="Q88" s="129">
        <f>IF($N88=0,0,O88)</f>
        <v>0</v>
      </c>
      <c r="R88" s="34">
        <f>IF($N88=0,0,2)</f>
        <v>2</v>
      </c>
      <c r="S88" s="34">
        <f>IF($N88=0,0,Scoring!P87)</f>
        <v>0</v>
      </c>
      <c r="T88" s="34">
        <f>IF($N88=0,0,2)</f>
        <v>2</v>
      </c>
      <c r="U88" s="35">
        <f>IF(VLOOKUP($H88,'How the score is generated (H)'!$B$4:$H$73,2,0)="ü",$Q88,0)</f>
        <v>0</v>
      </c>
      <c r="V88" s="36">
        <f>IF(VLOOKUP($H88,'How the score is generated (H)'!$B$4:$H$73,2,0)="ü",$S88,0)</f>
        <v>0</v>
      </c>
      <c r="W88" s="145">
        <f>IF($N88=0,0,IF(VLOOKUP($H88,'How the score is generated (H)'!$B$4:$H$73,2,0)="ü",2,0))</f>
        <v>2</v>
      </c>
      <c r="X88" s="35">
        <f>IF(VLOOKUP($H88,'How the score is generated (H)'!$B$4:$H$73,3,0)="ü",$Q88,0)</f>
        <v>0</v>
      </c>
      <c r="Y88" s="36">
        <f>IF(VLOOKUP($H88,'How the score is generated (H)'!$B$4:$H$73,3,0)="ü",$S88,0)</f>
        <v>0</v>
      </c>
      <c r="Z88" s="145">
        <f>IF($N88=0,0,IF(VLOOKUP($H88,'How the score is generated (H)'!$B$4:$H$73,3,0)="ü",2,0))</f>
        <v>2</v>
      </c>
      <c r="AA88" s="35">
        <f>IF(VLOOKUP($H88,'How the score is generated (H)'!$B$4:$H$73,4,0)="ü",$Q88,0)</f>
        <v>0</v>
      </c>
      <c r="AB88" s="36">
        <f>IF(VLOOKUP($H88,'How the score is generated (H)'!$B$4:$H$73,4,0)="ü",$S88,0)</f>
        <v>0</v>
      </c>
      <c r="AC88" s="145">
        <f>IF($N88=0,0,IF(VLOOKUP($H88,'How the score is generated (H)'!$B$4:$H$73,4,0)="ü",2,0))</f>
        <v>0</v>
      </c>
      <c r="AD88" s="35">
        <f>IF(VLOOKUP($H88,'How the score is generated (H)'!$B$4:$H$73,5,0)="ü",$Q88,0)</f>
        <v>0</v>
      </c>
      <c r="AE88" s="36">
        <f>IF(VLOOKUP($H88,'How the score is generated (H)'!$B$4:$H$73,5,0)="ü",$S88,0)</f>
        <v>0</v>
      </c>
      <c r="AF88" s="145">
        <f>IF($N88=0,0,IF(VLOOKUP($H88,'How the score is generated (H)'!$B$4:$H$73,5,0)="ü",2,0))</f>
        <v>0</v>
      </c>
      <c r="AG88" s="35">
        <f>IF(VLOOKUP($H88,'How the score is generated (H)'!$B$4:$H$73,6,0)="ü",$Q88,0)</f>
        <v>0</v>
      </c>
      <c r="AH88" s="36">
        <f>IF(VLOOKUP($H88,'How the score is generated (H)'!$B$4:$H$73,6,0)="ü",$S88,0)</f>
        <v>0</v>
      </c>
      <c r="AI88" s="145">
        <f>IF($N88=0,0,IF(VLOOKUP($H88,'How the score is generated (H)'!$B$4:$H$73,6,0)="ü",2,0))</f>
        <v>0</v>
      </c>
      <c r="AJ88" s="35">
        <f>IF(VLOOKUP($H88,'How the score is generated (H)'!$B$4:$H$73,7,0)="ü",$Q88,0)</f>
        <v>0</v>
      </c>
      <c r="AK88" s="36">
        <f>IF(VLOOKUP($H88,'How the score is generated (H)'!$B$4:$H$73,7,0)="ü",$S88,0)</f>
        <v>0</v>
      </c>
      <c r="AL88" s="145">
        <f>IF($N88=0,0,IF(VLOOKUP($H88,'How the score is generated (H)'!$B$4:$H$73,7,0)="ü",2,0))</f>
        <v>0</v>
      </c>
      <c r="AM88" s="35" t="e">
        <f>IF(VLOOKUP($H88,'How the score is generated (H)'!$B$4:$H$73,8,0)="ü",$Q88,0)</f>
        <v>#REF!</v>
      </c>
      <c r="AN88" s="36" t="e">
        <f>IF(VLOOKUP($H88,'How the score is generated (H)'!$B$4:$H$73,8,0)="ü",$S88,0)</f>
        <v>#REF!</v>
      </c>
      <c r="AO88" s="145" t="e">
        <f>IF($N88=0,0,IF(VLOOKUP($H88,'How the score is generated (H)'!$B$4:$H$73,8,0)="ü",2,0))</f>
        <v>#REF!</v>
      </c>
      <c r="AP88" s="23"/>
      <c r="AQ88" s="35">
        <f>IF(VLOOKUP($H88,'How the score is generated (P)'!$B$4:$I$73,2,0)="ü",$Q88,0)</f>
        <v>0</v>
      </c>
      <c r="AR88" s="36">
        <f>IF(VLOOKUP($H88,'How the score is generated (P)'!$B$4:$I$73,2,0)="ü",$S88,0)</f>
        <v>0</v>
      </c>
      <c r="AS88" s="145">
        <f>IF($N88=0,0,IF(VLOOKUP($H88,'How the score is generated (P)'!$B$4:$I$73,2,0)="ü",2,0))</f>
        <v>0</v>
      </c>
      <c r="AT88" s="35">
        <f>IF(VLOOKUP($H88,'How the score is generated (P)'!$B$4:$I$73,3,0)="ü",$Q88,0)</f>
        <v>0</v>
      </c>
      <c r="AU88" s="36">
        <f>IF(VLOOKUP($H88,'How the score is generated (P)'!$B$4:$I$73,3,0)="ü",$S88,0)</f>
        <v>0</v>
      </c>
      <c r="AV88" s="145">
        <f>IF($N88=0,0,IF(VLOOKUP($H88,'How the score is generated (P)'!$B$4:$I$73,3,0)="ü",2,0))</f>
        <v>0</v>
      </c>
      <c r="AW88" s="35">
        <f>IF(VLOOKUP($H88,'How the score is generated (P)'!$B$4:$I$73,4,0)="ü",$Q88,0)</f>
        <v>0</v>
      </c>
      <c r="AX88" s="36">
        <f>IF(VLOOKUP($H88,'How the score is generated (P)'!$B$4:$I$73,4,0)="ü",$S88,0)</f>
        <v>0</v>
      </c>
      <c r="AY88" s="145">
        <f>IF($N88=0,0,IF(VLOOKUP($H88,'How the score is generated (P)'!$B$4:$I$73,4,0)="ü",2,0))</f>
        <v>0</v>
      </c>
      <c r="AZ88" s="35">
        <f>IF(VLOOKUP($H88,'How the score is generated (P)'!$B$4:$I$73,5,0)="ü",$Q88,0)</f>
        <v>0</v>
      </c>
      <c r="BA88" s="36">
        <f>IF(VLOOKUP($H88,'How the score is generated (P)'!$B$4:$I$73,5,0)="ü",$S88,0)</f>
        <v>0</v>
      </c>
      <c r="BB88" s="145">
        <f>IF($N88=0,0,IF(VLOOKUP($H88,'How the score is generated (P)'!$B$4:$I$73,5,0)="ü",2,0))</f>
        <v>2</v>
      </c>
      <c r="BC88" s="35">
        <f>IF(VLOOKUP($H88,'How the score is generated (P)'!$B$4:$I$73,6,0)="ü",$Q88,0)</f>
        <v>0</v>
      </c>
      <c r="BD88" s="36">
        <f>IF(VLOOKUP($H88,'How the score is generated (P)'!$B$4:$I$73,6,0)="ü",$S88,0)</f>
        <v>0</v>
      </c>
      <c r="BE88" s="145">
        <f>IF($N88=0,0,IF(VLOOKUP($H88,'How the score is generated (P)'!$B$4:$I$73,6,0)="ü",2,0))</f>
        <v>2</v>
      </c>
      <c r="BF88" s="35">
        <f>IF(VLOOKUP($H88,'How the score is generated (P)'!$B$4:$I$73,7,0)="ü",$Q88,0)</f>
        <v>0</v>
      </c>
      <c r="BG88" s="36">
        <f>IF(VLOOKUP($H88,'How the score is generated (P)'!$B$4:$I$73,7,0)="ü",$S88,0)</f>
        <v>0</v>
      </c>
      <c r="BH88" s="145">
        <f>IF($N88=0,0,IF(VLOOKUP($H88,'How the score is generated (P)'!$B$4:$I$73,7,0)="ü",2,0))</f>
        <v>2</v>
      </c>
      <c r="BI88" s="35">
        <f>IF(VLOOKUP($H88,'How the score is generated (P)'!$B$4:$I$73,8,0)="ü",$Q88,0)</f>
        <v>0</v>
      </c>
      <c r="BJ88" s="36">
        <f>IF(VLOOKUP($H88,'How the score is generated (P)'!$B$4:$I$73,8,0)="ü",$S88,0)</f>
        <v>0</v>
      </c>
      <c r="BK88" s="145">
        <f>IF($N88=0,0,IF(VLOOKUP($H88,'How the score is generated (P)'!$B$4:$I$73,8,0)="ü",2,0))</f>
        <v>2</v>
      </c>
      <c r="BL88" s="23"/>
      <c r="BM88" s="201"/>
      <c r="BN88" s="23"/>
      <c r="BO88" s="146"/>
      <c r="BT88" s="34"/>
      <c r="BU88" s="34" t="str">
        <f>IF(BT88="Amber",IF(S88=0,"Residual Amber",""),"")</f>
        <v/>
      </c>
      <c r="BV88" s="34">
        <f t="shared" si="33"/>
        <v>0</v>
      </c>
      <c r="BW88" s="34">
        <f t="shared" si="31"/>
        <v>0</v>
      </c>
      <c r="BX88" s="34" t="str">
        <f t="shared" si="32"/>
        <v>59. Existing steps or new/upgraded structures</v>
      </c>
    </row>
    <row r="89" spans="1:76" ht="15" thickBot="1" x14ac:dyDescent="0.4">
      <c r="A89" s="23"/>
      <c r="B89" s="70"/>
      <c r="C89" s="47"/>
      <c r="D89" s="47"/>
      <c r="E89" s="47"/>
      <c r="F89" s="47"/>
      <c r="G89" s="171" t="s">
        <v>264</v>
      </c>
      <c r="H89" s="172"/>
      <c r="I89" s="263"/>
      <c r="J89" s="172"/>
      <c r="K89" s="172"/>
      <c r="L89" s="172"/>
      <c r="M89" s="172"/>
      <c r="N89" s="48"/>
      <c r="O89" s="49" t="str">
        <f>Q89&amp;"/"&amp;R89</f>
        <v>0/10</v>
      </c>
      <c r="P89" s="50" t="str">
        <f>S89&amp;"/"&amp;T89</f>
        <v>0/10</v>
      </c>
      <c r="Q89" s="48">
        <f>SUM(Q84:Q88)</f>
        <v>0</v>
      </c>
      <c r="R89" s="48">
        <f>SUM(R84:R88)</f>
        <v>10</v>
      </c>
      <c r="S89" s="51">
        <f>SUM(S84:S88)</f>
        <v>0</v>
      </c>
      <c r="T89" s="51">
        <f>SUM(T84:T88)</f>
        <v>10</v>
      </c>
      <c r="U89" s="89" t="e">
        <f t="shared" ref="U89:AO89" si="38">SUM(U8:U88)</f>
        <v>#N/A</v>
      </c>
      <c r="V89" s="89" t="e">
        <f t="shared" si="38"/>
        <v>#N/A</v>
      </c>
      <c r="W89" s="89" t="e">
        <f t="shared" si="38"/>
        <v>#N/A</v>
      </c>
      <c r="X89" s="89" t="e">
        <f t="shared" si="38"/>
        <v>#N/A</v>
      </c>
      <c r="Y89" s="89" t="e">
        <f t="shared" si="38"/>
        <v>#N/A</v>
      </c>
      <c r="Z89" s="89" t="e">
        <f t="shared" si="38"/>
        <v>#N/A</v>
      </c>
      <c r="AA89" s="89" t="e">
        <f t="shared" si="38"/>
        <v>#N/A</v>
      </c>
      <c r="AB89" s="89" t="e">
        <f t="shared" si="38"/>
        <v>#N/A</v>
      </c>
      <c r="AC89" s="89" t="e">
        <f t="shared" si="38"/>
        <v>#N/A</v>
      </c>
      <c r="AD89" s="89" t="e">
        <f t="shared" si="38"/>
        <v>#N/A</v>
      </c>
      <c r="AE89" s="89" t="e">
        <f t="shared" si="38"/>
        <v>#N/A</v>
      </c>
      <c r="AF89" s="89" t="e">
        <f t="shared" si="38"/>
        <v>#N/A</v>
      </c>
      <c r="AG89" s="89" t="e">
        <f t="shared" si="38"/>
        <v>#N/A</v>
      </c>
      <c r="AH89" s="89" t="e">
        <f t="shared" si="38"/>
        <v>#N/A</v>
      </c>
      <c r="AI89" s="89" t="e">
        <f t="shared" si="38"/>
        <v>#N/A</v>
      </c>
      <c r="AJ89" s="89" t="e">
        <f t="shared" si="38"/>
        <v>#N/A</v>
      </c>
      <c r="AK89" s="89" t="e">
        <f t="shared" si="38"/>
        <v>#N/A</v>
      </c>
      <c r="AL89" s="89" t="e">
        <f t="shared" si="38"/>
        <v>#N/A</v>
      </c>
      <c r="AM89" s="89" t="e">
        <f t="shared" si="38"/>
        <v>#REF!</v>
      </c>
      <c r="AN89" s="89" t="e">
        <f t="shared" si="38"/>
        <v>#REF!</v>
      </c>
      <c r="AO89" s="89" t="e">
        <f t="shared" si="38"/>
        <v>#REF!</v>
      </c>
      <c r="AP89" s="23"/>
      <c r="AQ89" s="89" t="e">
        <f t="shared" ref="AQ89:BE89" si="39">SUM(AQ8:AQ88)</f>
        <v>#N/A</v>
      </c>
      <c r="AR89" s="89" t="e">
        <f t="shared" si="39"/>
        <v>#N/A</v>
      </c>
      <c r="AS89" s="89" t="e">
        <f t="shared" si="39"/>
        <v>#N/A</v>
      </c>
      <c r="AT89" s="89" t="e">
        <f t="shared" si="39"/>
        <v>#N/A</v>
      </c>
      <c r="AU89" s="89" t="e">
        <f t="shared" si="39"/>
        <v>#N/A</v>
      </c>
      <c r="AV89" s="89" t="e">
        <f t="shared" si="39"/>
        <v>#N/A</v>
      </c>
      <c r="AW89" s="89" t="e">
        <f t="shared" si="39"/>
        <v>#N/A</v>
      </c>
      <c r="AX89" s="89" t="e">
        <f t="shared" si="39"/>
        <v>#N/A</v>
      </c>
      <c r="AY89" s="89" t="e">
        <f t="shared" si="39"/>
        <v>#N/A</v>
      </c>
      <c r="AZ89" s="89" t="e">
        <f t="shared" si="39"/>
        <v>#N/A</v>
      </c>
      <c r="BA89" s="89" t="e">
        <f t="shared" si="39"/>
        <v>#N/A</v>
      </c>
      <c r="BB89" s="89" t="e">
        <f t="shared" si="39"/>
        <v>#N/A</v>
      </c>
      <c r="BC89" s="89" t="e">
        <f t="shared" si="39"/>
        <v>#N/A</v>
      </c>
      <c r="BD89" s="89" t="e">
        <f t="shared" si="39"/>
        <v>#N/A</v>
      </c>
      <c r="BE89" s="89" t="e">
        <f t="shared" si="39"/>
        <v>#N/A</v>
      </c>
      <c r="BF89" s="89" t="e">
        <f t="shared" ref="BF89:BK89" si="40">SUM(BF8:BF88)</f>
        <v>#N/A</v>
      </c>
      <c r="BG89" s="89" t="e">
        <f t="shared" si="40"/>
        <v>#N/A</v>
      </c>
      <c r="BH89" s="89" t="e">
        <f t="shared" si="40"/>
        <v>#N/A</v>
      </c>
      <c r="BI89" s="89" t="e">
        <f t="shared" si="40"/>
        <v>#N/A</v>
      </c>
      <c r="BJ89" s="89" t="e">
        <f t="shared" si="40"/>
        <v>#N/A</v>
      </c>
      <c r="BK89" s="89" t="e">
        <f t="shared" si="40"/>
        <v>#N/A</v>
      </c>
      <c r="BL89" s="23"/>
      <c r="BM89" s="23"/>
      <c r="BN89" s="23"/>
      <c r="BO89" s="23"/>
      <c r="BT89" s="23"/>
      <c r="BU89" s="23"/>
      <c r="BV89" s="23"/>
      <c r="BW89" s="23"/>
      <c r="BX89" s="23"/>
    </row>
    <row r="90" spans="1:76" x14ac:dyDescent="0.35">
      <c r="A90" s="23"/>
      <c r="D90" s="47"/>
      <c r="E90" s="47"/>
      <c r="F90" s="47"/>
      <c r="G90" s="23"/>
      <c r="H90" s="23"/>
      <c r="I90" s="267"/>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row>
  </sheetData>
  <sheetProtection selectLockedCells="1"/>
  <mergeCells count="42">
    <mergeCell ref="C3:C5"/>
    <mergeCell ref="D3:D5"/>
    <mergeCell ref="E3:E5"/>
    <mergeCell ref="F3:F5"/>
    <mergeCell ref="G3:G5"/>
    <mergeCell ref="BM3:BM5"/>
    <mergeCell ref="BO3:BO5"/>
    <mergeCell ref="BT3:BW5"/>
    <mergeCell ref="BX3:BX5"/>
    <mergeCell ref="U4:W5"/>
    <mergeCell ref="X4:Z5"/>
    <mergeCell ref="AA4:AC5"/>
    <mergeCell ref="AD4:AF5"/>
    <mergeCell ref="AG4:AI5"/>
    <mergeCell ref="G83:M83"/>
    <mergeCell ref="AJ4:AL5"/>
    <mergeCell ref="AM4:AO5"/>
    <mergeCell ref="G7:M7"/>
    <mergeCell ref="G15:M15"/>
    <mergeCell ref="G24:M24"/>
    <mergeCell ref="G34:M34"/>
    <mergeCell ref="I3:I5"/>
    <mergeCell ref="J3:J5"/>
    <mergeCell ref="K3:K5"/>
    <mergeCell ref="L3:L5"/>
    <mergeCell ref="M3:M5"/>
    <mergeCell ref="O3:T5"/>
    <mergeCell ref="H3:H5"/>
    <mergeCell ref="G50:M50"/>
    <mergeCell ref="G65:M65"/>
    <mergeCell ref="G66:M66"/>
    <mergeCell ref="G71:M71"/>
    <mergeCell ref="G78:M78"/>
    <mergeCell ref="AQ3:BJ3"/>
    <mergeCell ref="AQ4:AS5"/>
    <mergeCell ref="AT4:AV5"/>
    <mergeCell ref="AW4:AY5"/>
    <mergeCell ref="AZ4:BB5"/>
    <mergeCell ref="BC4:BE5"/>
    <mergeCell ref="BF4:BH5"/>
    <mergeCell ref="BI4:BK5"/>
    <mergeCell ref="U3:AN3"/>
  </mergeCells>
  <conditionalFormatting sqref="C45">
    <cfRule type="expression" dxfId="101" priority="247">
      <formula>#REF! ="N"</formula>
    </cfRule>
  </conditionalFormatting>
  <conditionalFormatting sqref="C47">
    <cfRule type="expression" dxfId="100" priority="248">
      <formula>#REF! ="N"</formula>
    </cfRule>
  </conditionalFormatting>
  <conditionalFormatting sqref="C67 C69">
    <cfRule type="expression" dxfId="99" priority="249">
      <formula>#REF! ="N"</formula>
    </cfRule>
  </conditionalFormatting>
  <conditionalFormatting sqref="C68:C70">
    <cfRule type="expression" dxfId="98" priority="166">
      <formula>#REF! ="N"</formula>
    </cfRule>
  </conditionalFormatting>
  <conditionalFormatting sqref="C72:C77">
    <cfRule type="expression" dxfId="97" priority="169">
      <formula>#REF! ="N"</formula>
    </cfRule>
  </conditionalFormatting>
  <conditionalFormatting sqref="C79:C80">
    <cfRule type="expression" dxfId="96" priority="168">
      <formula>#REF! ="N"</formula>
    </cfRule>
  </conditionalFormatting>
  <conditionalFormatting sqref="C83">
    <cfRule type="expression" dxfId="95" priority="167">
      <formula>#REF! ="N"</formula>
    </cfRule>
  </conditionalFormatting>
  <conditionalFormatting sqref="D18:E21">
    <cfRule type="expression" dxfId="94" priority="200">
      <formula>$N18=0</formula>
    </cfRule>
  </conditionalFormatting>
  <conditionalFormatting sqref="D82:F83">
    <cfRule type="expression" dxfId="93" priority="255">
      <formula>#REF! ="N"</formula>
    </cfRule>
  </conditionalFormatting>
  <conditionalFormatting sqref="D8:M12">
    <cfRule type="expression" dxfId="92" priority="198">
      <formula>$N8=0</formula>
    </cfRule>
  </conditionalFormatting>
  <conditionalFormatting sqref="D16:M17">
    <cfRule type="expression" dxfId="91" priority="98">
      <formula>$N16=0</formula>
    </cfRule>
  </conditionalFormatting>
  <conditionalFormatting sqref="D25:M31">
    <cfRule type="expression" dxfId="90" priority="148">
      <formula>$N25=0</formula>
    </cfRule>
  </conditionalFormatting>
  <conditionalFormatting sqref="D35:M47">
    <cfRule type="expression" dxfId="89" priority="199">
      <formula>$N35=0</formula>
    </cfRule>
  </conditionalFormatting>
  <conditionalFormatting sqref="D51:M61">
    <cfRule type="expression" dxfId="88" priority="147">
      <formula>$N51=0</formula>
    </cfRule>
  </conditionalFormatting>
  <conditionalFormatting sqref="D62:M62">
    <cfRule type="expression" dxfId="87" priority="97">
      <formula>#REF!=0</formula>
    </cfRule>
  </conditionalFormatting>
  <conditionalFormatting sqref="D67:M70">
    <cfRule type="expression" dxfId="86" priority="159">
      <formula>$N67=0</formula>
    </cfRule>
  </conditionalFormatting>
  <conditionalFormatting sqref="D72:M77">
    <cfRule type="expression" dxfId="85" priority="203">
      <formula>$N72=0</formula>
    </cfRule>
  </conditionalFormatting>
  <conditionalFormatting sqref="D79:M80">
    <cfRule type="expression" dxfId="84" priority="150">
      <formula>$N79=0</formula>
    </cfRule>
  </conditionalFormatting>
  <conditionalFormatting sqref="D84:M88">
    <cfRule type="expression" dxfId="83" priority="149">
      <formula>$N84=0</formula>
    </cfRule>
  </conditionalFormatting>
  <conditionalFormatting sqref="F18:F21">
    <cfRule type="expression" dxfId="82" priority="201">
      <formula>$N16=0</formula>
    </cfRule>
  </conditionalFormatting>
  <conditionalFormatting sqref="G82">
    <cfRule type="expression" dxfId="81" priority="246">
      <formula>#REF! ="N"</formula>
    </cfRule>
  </conditionalFormatting>
  <conditionalFormatting sqref="G18:M21">
    <cfRule type="expression" dxfId="80" priority="202">
      <formula>$N18=0</formula>
    </cfRule>
  </conditionalFormatting>
  <conditionalFormatting sqref="H82:M82 O82:P82">
    <cfRule type="expression" dxfId="79" priority="256">
      <formula>#REF! ="N"</formula>
    </cfRule>
  </conditionalFormatting>
  <conditionalFormatting sqref="N8:N12 N16:N21 N25:N31 N35:N47 N79:N80 N84:N88">
    <cfRule type="cellIs" dxfId="78" priority="250" operator="equal">
      <formula>"Critical"</formula>
    </cfRule>
    <cfRule type="cellIs" dxfId="77" priority="251" operator="equal">
      <formula>"Basic (0)"</formula>
    </cfRule>
    <cfRule type="cellIs" dxfId="76" priority="252" operator="equal">
      <formula>"Good (1)"</formula>
    </cfRule>
    <cfRule type="cellIs" dxfId="75" priority="253" operator="equal">
      <formula>"Very Good (2)"</formula>
    </cfRule>
  </conditionalFormatting>
  <conditionalFormatting sqref="N51:N62">
    <cfRule type="cellIs" dxfId="74" priority="205" operator="equal">
      <formula>"Critical"</formula>
    </cfRule>
    <cfRule type="cellIs" dxfId="73" priority="207" operator="equal">
      <formula>"Good (1)"</formula>
    </cfRule>
    <cfRule type="cellIs" dxfId="72" priority="206" operator="equal">
      <formula>"Basic (0)"</formula>
    </cfRule>
    <cfRule type="cellIs" dxfId="71" priority="208" operator="equal">
      <formula>"Very Good (2)"</formula>
    </cfRule>
  </conditionalFormatting>
  <conditionalFormatting sqref="N67:N70">
    <cfRule type="cellIs" dxfId="70" priority="243" operator="equal">
      <formula>"Basic (0)"</formula>
    </cfRule>
    <cfRule type="cellIs" dxfId="69" priority="242" operator="equal">
      <formula>"Critical"</formula>
    </cfRule>
    <cfRule type="cellIs" dxfId="68" priority="244" operator="equal">
      <formula>"Good (1)"</formula>
    </cfRule>
    <cfRule type="cellIs" dxfId="67" priority="245" operator="equal">
      <formula>"Very Good (2)"</formula>
    </cfRule>
  </conditionalFormatting>
  <conditionalFormatting sqref="N72:N77">
    <cfRule type="cellIs" dxfId="66" priority="238" operator="equal">
      <formula>"Critical"</formula>
    </cfRule>
    <cfRule type="cellIs" dxfId="65" priority="239" operator="equal">
      <formula>"Basic (0)"</formula>
    </cfRule>
    <cfRule type="cellIs" dxfId="64" priority="240" operator="equal">
      <formula>"Good (1)"</formula>
    </cfRule>
    <cfRule type="cellIs" dxfId="63" priority="241" operator="equal">
      <formula>"Very Good (2)"</formula>
    </cfRule>
  </conditionalFormatting>
  <conditionalFormatting sqref="N82">
    <cfRule type="expression" dxfId="62" priority="254">
      <formula>#REF! ="N"</formula>
    </cfRule>
  </conditionalFormatting>
  <conditionalFormatting sqref="Q8:T12">
    <cfRule type="cellIs" dxfId="61" priority="230" operator="equal">
      <formula>"Basic (0)"</formula>
    </cfRule>
    <cfRule type="cellIs" dxfId="60" priority="229" operator="equal">
      <formula>"Critical"</formula>
    </cfRule>
    <cfRule type="cellIs" dxfId="59" priority="231" operator="equal">
      <formula>"Good (1)"</formula>
    </cfRule>
    <cfRule type="cellIs" dxfId="58" priority="232" operator="equal">
      <formula>"Very Good (2)"</formula>
    </cfRule>
  </conditionalFormatting>
  <conditionalFormatting sqref="Q16:T21">
    <cfRule type="cellIs" dxfId="57" priority="16" operator="equal">
      <formula>"Very Good (2)"</formula>
    </cfRule>
    <cfRule type="cellIs" dxfId="56" priority="14" operator="equal">
      <formula>"Basic (0)"</formula>
    </cfRule>
    <cfRule type="cellIs" dxfId="55" priority="13" operator="equal">
      <formula>"Critical"</formula>
    </cfRule>
    <cfRule type="cellIs" dxfId="54" priority="15" operator="equal">
      <formula>"Good (1)"</formula>
    </cfRule>
  </conditionalFormatting>
  <conditionalFormatting sqref="Q25:T31">
    <cfRule type="cellIs" dxfId="53" priority="12" operator="equal">
      <formula>"Very Good (2)"</formula>
    </cfRule>
    <cfRule type="cellIs" dxfId="52" priority="11" operator="equal">
      <formula>"Good (1)"</formula>
    </cfRule>
    <cfRule type="cellIs" dxfId="51" priority="10" operator="equal">
      <formula>"Basic (0)"</formula>
    </cfRule>
    <cfRule type="cellIs" dxfId="50" priority="9" operator="equal">
      <formula>"Critical"</formula>
    </cfRule>
  </conditionalFormatting>
  <conditionalFormatting sqref="Q35:T47">
    <cfRule type="cellIs" dxfId="49" priority="8" operator="equal">
      <formula>"Very Good (2)"</formula>
    </cfRule>
    <cfRule type="cellIs" dxfId="48" priority="7" operator="equal">
      <formula>"Good (1)"</formula>
    </cfRule>
    <cfRule type="cellIs" dxfId="47" priority="6" operator="equal">
      <formula>"Basic (0)"</formula>
    </cfRule>
    <cfRule type="cellIs" dxfId="46" priority="5" operator="equal">
      <formula>"Critical"</formula>
    </cfRule>
  </conditionalFormatting>
  <conditionalFormatting sqref="Q51:T62">
    <cfRule type="cellIs" dxfId="45" priority="2" operator="equal">
      <formula>"Basic (0)"</formula>
    </cfRule>
    <cfRule type="cellIs" dxfId="44" priority="3" operator="equal">
      <formula>"Good (1)"</formula>
    </cfRule>
    <cfRule type="cellIs" dxfId="43" priority="4" operator="equal">
      <formula>"Very Good (2)"</formula>
    </cfRule>
    <cfRule type="cellIs" dxfId="42" priority="1" operator="equal">
      <formula>"Critical"</formula>
    </cfRule>
  </conditionalFormatting>
  <conditionalFormatting sqref="Q67:T70">
    <cfRule type="cellIs" dxfId="41" priority="56" operator="equal">
      <formula>"Very Good (2)"</formula>
    </cfRule>
    <cfRule type="cellIs" dxfId="40" priority="55" operator="equal">
      <formula>"Good (1)"</formula>
    </cfRule>
    <cfRule type="cellIs" dxfId="39" priority="54" operator="equal">
      <formula>"Basic (0)"</formula>
    </cfRule>
    <cfRule type="cellIs" dxfId="38" priority="53" operator="equal">
      <formula>"Critical"</formula>
    </cfRule>
  </conditionalFormatting>
  <conditionalFormatting sqref="Q72:T77">
    <cfRule type="cellIs" dxfId="37" priority="43" operator="equal">
      <formula>"Critical"</formula>
    </cfRule>
    <cfRule type="cellIs" dxfId="36" priority="44" operator="equal">
      <formula>"Basic (0)"</formula>
    </cfRule>
    <cfRule type="cellIs" dxfId="35" priority="46" operator="equal">
      <formula>"Very Good (2)"</formula>
    </cfRule>
    <cfRule type="cellIs" dxfId="34" priority="45" operator="equal">
      <formula>"Good (1)"</formula>
    </cfRule>
  </conditionalFormatting>
  <conditionalFormatting sqref="Q79:T80">
    <cfRule type="cellIs" dxfId="33" priority="34" operator="equal">
      <formula>"Basic (0)"</formula>
    </cfRule>
    <cfRule type="cellIs" dxfId="32" priority="35" operator="equal">
      <formula>"Good (1)"</formula>
    </cfRule>
    <cfRule type="cellIs" dxfId="31" priority="36" operator="equal">
      <formula>"Very Good (2)"</formula>
    </cfRule>
    <cfRule type="cellIs" dxfId="30" priority="33" operator="equal">
      <formula>"Critical"</formula>
    </cfRule>
  </conditionalFormatting>
  <conditionalFormatting sqref="Q82:T82">
    <cfRule type="expression" dxfId="29" priority="233">
      <formula>#REF! ="N"</formula>
    </cfRule>
  </conditionalFormatting>
  <conditionalFormatting sqref="Q84:T88">
    <cfRule type="cellIs" dxfId="28" priority="26" operator="equal">
      <formula>"Very Good (2)"</formula>
    </cfRule>
    <cfRule type="cellIs" dxfId="27" priority="25" operator="equal">
      <formula>"Good (1)"</formula>
    </cfRule>
    <cfRule type="cellIs" dxfId="26" priority="24" operator="equal">
      <formula>"Basic (0)"</formula>
    </cfRule>
    <cfRule type="cellIs" dxfId="25" priority="23" operator="equal">
      <formula>"Critical"</formula>
    </cfRule>
  </conditionalFormatting>
  <conditionalFormatting sqref="BT8:BX12 BT16:BX21 BT35:BX47">
    <cfRule type="cellIs" dxfId="24" priority="234" operator="equal">
      <formula>"Critical"</formula>
    </cfRule>
    <cfRule type="cellIs" dxfId="23" priority="235" operator="equal">
      <formula>"Basic (0)"</formula>
    </cfRule>
    <cfRule type="cellIs" dxfId="22" priority="236" operator="equal">
      <formula>"Good (1)"</formula>
    </cfRule>
    <cfRule type="cellIs" dxfId="21" priority="237" operator="equal">
      <formula>"Very Good (2)"</formula>
    </cfRule>
  </conditionalFormatting>
  <conditionalFormatting sqref="BT25:BX31">
    <cfRule type="cellIs" dxfId="20" priority="153" operator="equal">
      <formula>"Good (1)"</formula>
    </cfRule>
    <cfRule type="cellIs" dxfId="19" priority="154" operator="equal">
      <formula>"Very Good (2)"</formula>
    </cfRule>
    <cfRule type="cellIs" dxfId="18" priority="151" operator="equal">
      <formula>"Critical"</formula>
    </cfRule>
    <cfRule type="cellIs" dxfId="17" priority="152" operator="equal">
      <formula>"Basic (0)"</formula>
    </cfRule>
  </conditionalFormatting>
  <conditionalFormatting sqref="BT51:BX62">
    <cfRule type="cellIs" dxfId="16" priority="196" operator="equal">
      <formula>"Good (1)"</formula>
    </cfRule>
    <cfRule type="cellIs" dxfId="15" priority="197" operator="equal">
      <formula>"Very Good (2)"</formula>
    </cfRule>
    <cfRule type="cellIs" dxfId="14" priority="195" operator="equal">
      <formula>"Basic (0)"</formula>
    </cfRule>
    <cfRule type="cellIs" dxfId="13" priority="194" operator="equal">
      <formula>"Critical"</formula>
    </cfRule>
  </conditionalFormatting>
  <conditionalFormatting sqref="BT67:BX70">
    <cfRule type="cellIs" dxfId="12" priority="190" operator="equal">
      <formula>"Critical"</formula>
    </cfRule>
    <cfRule type="cellIs" dxfId="11" priority="191" operator="equal">
      <formula>"Basic (0)"</formula>
    </cfRule>
    <cfRule type="cellIs" dxfId="10" priority="192" operator="equal">
      <formula>"Good (1)"</formula>
    </cfRule>
    <cfRule type="cellIs" dxfId="9" priority="193" operator="equal">
      <formula>"Very Good (2)"</formula>
    </cfRule>
  </conditionalFormatting>
  <conditionalFormatting sqref="BT72:BX80">
    <cfRule type="cellIs" dxfId="8" priority="186" operator="equal">
      <formula>"Critical"</formula>
    </cfRule>
    <cfRule type="cellIs" dxfId="7" priority="187" operator="equal">
      <formula>"Basic (0)"</formula>
    </cfRule>
    <cfRule type="cellIs" dxfId="6" priority="188" operator="equal">
      <formula>"Good (1)"</formula>
    </cfRule>
    <cfRule type="cellIs" dxfId="5" priority="189" operator="equal">
      <formula>"Very Good (2)"</formula>
    </cfRule>
  </conditionalFormatting>
  <conditionalFormatting sqref="BT82:BX82">
    <cfRule type="expression" dxfId="4" priority="204">
      <formula>#REF! ="N"</formula>
    </cfRule>
  </conditionalFormatting>
  <conditionalFormatting sqref="BT84:BX88">
    <cfRule type="cellIs" dxfId="3" priority="182" operator="equal">
      <formula>"Critical"</formula>
    </cfRule>
    <cfRule type="cellIs" dxfId="2" priority="183" operator="equal">
      <formula>"Basic (0)"</formula>
    </cfRule>
    <cfRule type="cellIs" dxfId="1" priority="185" operator="equal">
      <formula>"Very Good (2)"</formula>
    </cfRule>
    <cfRule type="cellIs" dxfId="0" priority="184" operator="equal">
      <formula>"Good (1)"</formula>
    </cfRule>
  </conditionalFormatting>
  <pageMargins left="0.7" right="0.7" top="0.75" bottom="0.75" header="0.3" footer="0.3"/>
  <pageSetup paperSize="8" scale="63"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58559691-6A8F-4653-A9A4-4664B0AA8D7D}">
          <x14:formula1>
            <xm:f>Validation!$F$2:$F$5</xm:f>
          </x14:formula1>
          <xm:sqref>O35:P47 O25:P31 O16:P21 O11:P12 O51:P62 O67:P70 O72:P77 O79:P80 O84:P88</xm:sqref>
        </x14:dataValidation>
        <x14:dataValidation type="list" allowBlank="1" showInputMessage="1" showErrorMessage="1" xr:uid="{C2209063-747A-4CC3-98AF-0256D99D62C3}">
          <x14:formula1>
            <xm:f>Validation!$D$2:$D$6</xm:f>
          </x14:formula1>
          <xm:sqref>O8:P10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7B94-20ED-4A21-8AD5-DF3E84125C36}">
  <sheetPr>
    <tabColor theme="9" tint="-0.249977111117893"/>
  </sheetPr>
  <dimension ref="B1:H24"/>
  <sheetViews>
    <sheetView zoomScale="70" zoomScaleNormal="70" workbookViewId="0">
      <selection activeCell="I5" sqref="I5"/>
    </sheetView>
  </sheetViews>
  <sheetFormatPr defaultColWidth="8.81640625" defaultRowHeight="14.5" zeroHeight="1" x14ac:dyDescent="0.35"/>
  <cols>
    <col min="1" max="1" width="1.81640625" style="255" customWidth="1"/>
    <col min="2" max="2" width="88.54296875" style="255" customWidth="1"/>
    <col min="3" max="3" width="1" style="255" customWidth="1"/>
    <col min="4" max="4" width="27.81640625" style="255" customWidth="1"/>
    <col min="5" max="5" width="40.54296875" style="255" customWidth="1"/>
    <col min="6" max="6" width="1.1796875" style="255" customWidth="1"/>
    <col min="7" max="7" width="45.7265625" style="255" customWidth="1"/>
    <col min="8" max="16381" width="8.81640625" style="255" customWidth="1"/>
    <col min="16382" max="16382" width="4.36328125" style="255" customWidth="1"/>
    <col min="16383" max="16383" width="6.1796875" style="255" customWidth="1"/>
    <col min="16384" max="16384" width="1.7265625" style="255" customWidth="1"/>
  </cols>
  <sheetData>
    <row r="1" spans="2:8" x14ac:dyDescent="0.35"/>
    <row r="2" spans="2:8" ht="18.5" x14ac:dyDescent="0.35">
      <c r="B2" s="256" t="s">
        <v>1016</v>
      </c>
    </row>
    <row r="3" spans="2:8" ht="6" customHeight="1" x14ac:dyDescent="0.35"/>
    <row r="4" spans="2:8" ht="17.5" customHeight="1" x14ac:dyDescent="0.35">
      <c r="B4" s="257" t="s">
        <v>491</v>
      </c>
      <c r="D4" s="471" t="s">
        <v>1022</v>
      </c>
      <c r="E4" s="472"/>
      <c r="F4" s="258"/>
      <c r="G4" s="433" t="s">
        <v>1023</v>
      </c>
      <c r="H4" s="432"/>
    </row>
    <row r="5" spans="2:8" ht="107.5" customHeight="1" x14ac:dyDescent="0.35">
      <c r="B5" s="434" t="s">
        <v>1145</v>
      </c>
      <c r="D5" s="480" t="s">
        <v>1027</v>
      </c>
      <c r="E5" s="481"/>
      <c r="F5" s="258"/>
      <c r="G5" s="468" t="s">
        <v>1026</v>
      </c>
      <c r="H5" s="432"/>
    </row>
    <row r="6" spans="2:8" ht="8.5" customHeight="1" x14ac:dyDescent="0.35">
      <c r="B6" s="258"/>
      <c r="D6" s="480"/>
      <c r="E6" s="481"/>
      <c r="F6" s="258"/>
      <c r="G6" s="468"/>
      <c r="H6" s="432"/>
    </row>
    <row r="7" spans="2:8" ht="80.5" customHeight="1" x14ac:dyDescent="0.35">
      <c r="B7" s="451" t="s">
        <v>1255</v>
      </c>
      <c r="D7" s="475"/>
      <c r="E7" s="476"/>
      <c r="F7" s="435"/>
      <c r="G7" s="469"/>
      <c r="H7" s="432"/>
    </row>
    <row r="8" spans="2:8" ht="7.5" customHeight="1" x14ac:dyDescent="0.35"/>
    <row r="9" spans="2:8" ht="16" customHeight="1" x14ac:dyDescent="0.35">
      <c r="B9" s="257" t="s">
        <v>1025</v>
      </c>
      <c r="D9" s="471" t="s">
        <v>1024</v>
      </c>
      <c r="E9" s="472"/>
      <c r="F9" s="258"/>
      <c r="G9" s="452" t="s">
        <v>1021</v>
      </c>
      <c r="H9" s="258"/>
    </row>
    <row r="10" spans="2:8" ht="260.5" customHeight="1" x14ac:dyDescent="0.35">
      <c r="B10" s="434" t="s">
        <v>1146</v>
      </c>
      <c r="D10" s="473" t="s">
        <v>1147</v>
      </c>
      <c r="E10" s="474"/>
      <c r="F10" s="435"/>
      <c r="G10" s="453" t="e" vm="1">
        <v>#VALUE!</v>
      </c>
    </row>
    <row r="11" spans="2:8" ht="6" customHeight="1" x14ac:dyDescent="0.35">
      <c r="G11" s="436"/>
    </row>
    <row r="12" spans="2:8" x14ac:dyDescent="0.35">
      <c r="B12" s="257" t="s">
        <v>1</v>
      </c>
      <c r="D12" s="477" t="s">
        <v>855</v>
      </c>
      <c r="E12" s="478"/>
      <c r="F12" s="259"/>
      <c r="G12" s="452" t="s">
        <v>1028</v>
      </c>
    </row>
    <row r="13" spans="2:8" ht="163" customHeight="1" x14ac:dyDescent="0.35">
      <c r="B13" s="437" t="s">
        <v>1030</v>
      </c>
      <c r="D13" s="475" t="s">
        <v>1031</v>
      </c>
      <c r="E13" s="476"/>
      <c r="F13" s="435"/>
      <c r="G13" s="453" t="e" vm="2">
        <v>#VALUE!</v>
      </c>
    </row>
    <row r="14" spans="2:8" ht="6" customHeight="1" x14ac:dyDescent="0.35"/>
    <row r="15" spans="2:8" ht="7" customHeight="1" x14ac:dyDescent="0.35">
      <c r="B15" s="258"/>
      <c r="D15" s="479"/>
      <c r="E15" s="479"/>
    </row>
    <row r="16" spans="2:8" ht="35" customHeight="1" x14ac:dyDescent="0.35">
      <c r="B16" s="470" t="s">
        <v>1029</v>
      </c>
      <c r="D16" s="294"/>
      <c r="E16" s="294"/>
      <c r="G16" s="260" t="s">
        <v>2</v>
      </c>
    </row>
    <row r="17" spans="2:7" ht="155" customHeight="1" x14ac:dyDescent="0.35">
      <c r="B17" s="470"/>
      <c r="D17" s="294"/>
      <c r="E17" s="294"/>
      <c r="G17" s="416"/>
    </row>
    <row r="18" spans="2:7" ht="12.5" customHeight="1" x14ac:dyDescent="0.35">
      <c r="D18" s="431"/>
      <c r="G18" s="415"/>
    </row>
    <row r="19" spans="2:7" ht="14.5" hidden="1" customHeight="1" x14ac:dyDescent="0.35"/>
    <row r="20" spans="2:7" ht="14.5" hidden="1" customHeight="1" x14ac:dyDescent="0.35"/>
    <row r="21" spans="2:7" ht="14.5" hidden="1" customHeight="1" x14ac:dyDescent="0.35"/>
    <row r="22" spans="2:7" ht="14.5" hidden="1" customHeight="1" x14ac:dyDescent="0.35"/>
    <row r="23" spans="2:7" ht="14.5" hidden="1" customHeight="1" x14ac:dyDescent="0.35"/>
    <row r="24" spans="2:7" ht="14.5" hidden="1" customHeight="1" x14ac:dyDescent="0.35"/>
  </sheetData>
  <sheetProtection algorithmName="SHA-512" hashValue="yTVJtYc4DN3MOjw0HVT9tWxERD1+hjjACg+bqTy3/EjNJQN6AA78Q+2n/lwqpgHDM05gZJwVpKaceLBF/2W2ww==" saltValue="xRsdA4YAtIQRsGzmKeDnwg==" spinCount="100000" sheet="1" selectLockedCells="1" selectUnlockedCells="1"/>
  <mergeCells count="9">
    <mergeCell ref="G5:G7"/>
    <mergeCell ref="B16:B17"/>
    <mergeCell ref="D4:E4"/>
    <mergeCell ref="D10:E10"/>
    <mergeCell ref="D13:E13"/>
    <mergeCell ref="D12:E12"/>
    <mergeCell ref="D9:E9"/>
    <mergeCell ref="D15:E15"/>
    <mergeCell ref="D5:E7"/>
  </mergeCells>
  <hyperlinks>
    <hyperlink ref="G16" location="Project!A1" display="Get Started" xr:uid="{D75745E2-D842-497C-A820-9C3B56EB89FD}"/>
    <hyperlink ref="B10" r:id="rId1" display="There are four scores available in the check – Critical, 0, 1, 2. The scores relate to existing standards, guidance and best practice collated from a range of sources and disciplines that play a role in street design. For a full list of sources, refer to the Greater Manchester Streets for All Design Guide. Not all scores are available for all metrics. Only the scores which can be given to a particular metric are available in the scoring drop down menu." xr:uid="{92B50418-526B-4B86-AE95-F5A35969FC11}"/>
    <hyperlink ref="D10:E10" location="'GM Street Types'!A1" display="To undertake the check, designers should use their local knowledge of context to choose sections of the street or route with similar look, feel and function. This may require completing more than one check per scheme. Each junction should be assessed using the LTN 1/20 Junction Assessment Tool (JAT). You will need to know technical information about the existing street, such as footway widths or traffic volumes, to be able to get the most of the tool. You should identify what street type your street is currently and understand if there is ambition to change the street type through design features. You should have clear scheme objectives, as this will help you interpret your results." xr:uid="{8E2DD92F-1A63-458C-BEC2-48DEB44FBE1C}"/>
    <hyperlink ref="B16" r:id="rId2" display="mailto:gmstreetdesignguide@tfgm.com" xr:uid="{84E69AB6-0662-49F2-B387-E68BAD178CEE}"/>
    <hyperlink ref="B5" r:id="rId3" display="The Greater Manchester Streets for All Design Check is a tool to assess how existing streets, and proposed changes to streets, perform against the design principles and requirements set out in Greater Manchester’s Streets for All Design Guide. It brings together a range of items to consider when analysing, designing, operating and maintaining our streets, highlighting what matters most for street design in Greater Manchester. The check sits alongside requirements for road safety audits and it is not a replacement for, or alternative to, them. " xr:uid="{94A40EFA-23D5-492F-AF3C-6C605AB86CA8}"/>
  </hyperlinks>
  <pageMargins left="0.7" right="0.7" top="0.75" bottom="0.75" header="0.3" footer="0.3"/>
  <pageSetup paperSize="9" orientation="portrait" horizont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B5EE-45CB-482A-97FD-C6DFFB0A4BCA}">
  <sheetPr>
    <tabColor theme="9" tint="0.39997558519241921"/>
  </sheetPr>
  <dimension ref="A1:Y47"/>
  <sheetViews>
    <sheetView workbookViewId="0">
      <selection activeCell="B23" sqref="B23:G23"/>
    </sheetView>
  </sheetViews>
  <sheetFormatPr defaultColWidth="0" defaultRowHeight="14.5" zeroHeight="1" x14ac:dyDescent="0.35"/>
  <cols>
    <col min="1" max="1" width="1.81640625" customWidth="1"/>
    <col min="2" max="7" width="8.81640625" customWidth="1"/>
    <col min="8" max="8" width="5.1796875" customWidth="1"/>
    <col min="9" max="14" width="8.81640625" customWidth="1"/>
    <col min="15" max="15" width="1.81640625" customWidth="1"/>
    <col min="16" max="18" width="8.81640625" hidden="1" customWidth="1"/>
    <col min="19" max="25" width="0" hidden="1" customWidth="1"/>
    <col min="26" max="16384" width="8.81640625" hidden="1"/>
  </cols>
  <sheetData>
    <row r="1" spans="1:16" x14ac:dyDescent="0.35">
      <c r="A1" s="16"/>
      <c r="B1" s="16"/>
      <c r="C1" s="16"/>
      <c r="D1" s="16"/>
      <c r="E1" s="16"/>
      <c r="F1" s="16"/>
      <c r="G1" s="16"/>
      <c r="H1" s="16"/>
      <c r="I1" s="16"/>
      <c r="J1" s="16"/>
      <c r="K1" s="16"/>
      <c r="L1" s="16"/>
      <c r="M1" s="16"/>
      <c r="N1" s="16"/>
      <c r="O1" s="16"/>
      <c r="P1" s="16"/>
    </row>
    <row r="2" spans="1:16" x14ac:dyDescent="0.35">
      <c r="A2" s="16"/>
      <c r="B2" s="16" t="s">
        <v>926</v>
      </c>
      <c r="C2" s="16"/>
      <c r="D2" s="16"/>
      <c r="E2" s="16"/>
      <c r="F2" s="16"/>
      <c r="G2" s="16"/>
      <c r="H2" s="16"/>
      <c r="I2" s="16"/>
      <c r="J2" s="16"/>
      <c r="K2" s="16"/>
      <c r="L2" s="16"/>
      <c r="M2" s="16"/>
      <c r="N2" s="16"/>
      <c r="O2" s="16"/>
      <c r="P2" s="16"/>
    </row>
    <row r="3" spans="1:16" x14ac:dyDescent="0.35">
      <c r="A3" s="16"/>
      <c r="B3" s="482"/>
      <c r="C3" s="482"/>
      <c r="D3" s="482"/>
      <c r="E3" s="482"/>
      <c r="F3" s="482"/>
      <c r="G3" s="482"/>
      <c r="H3" s="16"/>
      <c r="I3" s="16"/>
      <c r="J3" s="16"/>
      <c r="K3" s="16"/>
      <c r="L3" s="16"/>
      <c r="M3" s="16"/>
      <c r="N3" s="16"/>
      <c r="O3" s="16"/>
      <c r="P3" s="16"/>
    </row>
    <row r="4" spans="1:16" ht="3" customHeight="1" x14ac:dyDescent="0.35">
      <c r="A4" s="16"/>
      <c r="B4" s="16"/>
      <c r="C4" s="16"/>
      <c r="D4" s="16"/>
      <c r="E4" s="16"/>
      <c r="F4" s="16"/>
      <c r="G4" s="16"/>
      <c r="H4" s="16"/>
      <c r="I4" s="16"/>
      <c r="J4" s="16"/>
      <c r="K4" s="16"/>
      <c r="L4" s="16"/>
      <c r="M4" s="16"/>
      <c r="N4" s="16"/>
      <c r="O4" s="16"/>
      <c r="P4" s="16"/>
    </row>
    <row r="5" spans="1:16" x14ac:dyDescent="0.35">
      <c r="A5" s="16"/>
      <c r="B5" s="16" t="s">
        <v>3</v>
      </c>
      <c r="C5" s="16"/>
      <c r="D5" s="16"/>
      <c r="E5" s="16"/>
      <c r="F5" s="16"/>
      <c r="G5" s="16"/>
      <c r="H5" s="16"/>
      <c r="I5" s="16" t="s">
        <v>4</v>
      </c>
      <c r="J5" s="16"/>
      <c r="K5" s="16"/>
      <c r="L5" s="16"/>
      <c r="M5" s="16"/>
      <c r="N5" s="16"/>
      <c r="O5" s="17"/>
      <c r="P5" s="16"/>
    </row>
    <row r="6" spans="1:16" ht="3" customHeight="1" x14ac:dyDescent="0.35">
      <c r="A6" s="16"/>
      <c r="B6" s="16"/>
      <c r="C6" s="16"/>
      <c r="D6" s="16"/>
      <c r="E6" s="16"/>
      <c r="F6" s="16"/>
      <c r="G6" s="16"/>
      <c r="H6" s="16"/>
      <c r="I6" s="16"/>
      <c r="J6" s="16"/>
      <c r="K6" s="16"/>
      <c r="L6" s="16"/>
      <c r="M6" s="16"/>
      <c r="N6" s="16"/>
      <c r="O6" s="16"/>
      <c r="P6" s="16"/>
    </row>
    <row r="7" spans="1:16" x14ac:dyDescent="0.35">
      <c r="A7" s="16"/>
      <c r="B7" s="482"/>
      <c r="C7" s="482"/>
      <c r="D7" s="482"/>
      <c r="E7" s="482"/>
      <c r="F7" s="482"/>
      <c r="G7" s="482"/>
      <c r="H7" s="16"/>
      <c r="I7" s="482"/>
      <c r="J7" s="482"/>
      <c r="K7" s="482"/>
      <c r="L7" s="482"/>
      <c r="M7" s="482"/>
      <c r="N7" s="482"/>
      <c r="O7" s="16"/>
      <c r="P7" s="16"/>
    </row>
    <row r="8" spans="1:16" x14ac:dyDescent="0.35">
      <c r="A8" s="16"/>
      <c r="B8" s="16"/>
      <c r="C8" s="16"/>
      <c r="D8" s="16"/>
      <c r="E8" s="16"/>
      <c r="F8" s="16"/>
      <c r="G8" s="16"/>
      <c r="H8" s="16"/>
      <c r="I8" s="16"/>
      <c r="J8" s="16"/>
      <c r="K8" s="16"/>
      <c r="L8" s="16"/>
      <c r="M8" s="16"/>
      <c r="N8" s="16"/>
      <c r="O8" s="16"/>
      <c r="P8" s="16"/>
    </row>
    <row r="9" spans="1:16" x14ac:dyDescent="0.35">
      <c r="A9" s="16"/>
      <c r="B9" s="16" t="s">
        <v>5</v>
      </c>
      <c r="C9" s="16"/>
      <c r="D9" s="16"/>
      <c r="E9" s="16"/>
      <c r="F9" s="16"/>
      <c r="G9" s="16"/>
      <c r="H9" s="16"/>
      <c r="I9" s="16" t="s">
        <v>925</v>
      </c>
      <c r="J9" s="16"/>
      <c r="K9" s="16"/>
      <c r="L9" s="16"/>
      <c r="M9" s="16"/>
      <c r="N9" s="16"/>
      <c r="O9" s="16"/>
      <c r="P9" s="16"/>
    </row>
    <row r="10" spans="1:16" ht="3" customHeight="1" x14ac:dyDescent="0.35">
      <c r="A10" s="16"/>
      <c r="B10" s="16"/>
      <c r="C10" s="16"/>
      <c r="D10" s="16"/>
      <c r="E10" s="16"/>
      <c r="F10" s="16"/>
      <c r="G10" s="16"/>
      <c r="H10" s="16"/>
      <c r="I10" s="16"/>
      <c r="J10" s="16"/>
      <c r="K10" s="16"/>
      <c r="L10" s="16"/>
      <c r="M10" s="16"/>
      <c r="N10" s="16"/>
      <c r="O10" s="16"/>
      <c r="P10" s="16"/>
    </row>
    <row r="11" spans="1:16" x14ac:dyDescent="0.35">
      <c r="A11" s="16"/>
      <c r="B11" s="482"/>
      <c r="C11" s="482"/>
      <c r="D11" s="482"/>
      <c r="E11" s="482"/>
      <c r="F11" s="482"/>
      <c r="G11" s="482"/>
      <c r="H11" s="16"/>
      <c r="I11" s="482"/>
      <c r="J11" s="482"/>
      <c r="K11" s="482"/>
      <c r="L11" s="482"/>
      <c r="M11" s="482"/>
      <c r="N11" s="482"/>
      <c r="O11" s="16"/>
      <c r="P11" s="16"/>
    </row>
    <row r="12" spans="1:16" x14ac:dyDescent="0.35">
      <c r="A12" s="16"/>
      <c r="B12" s="16"/>
      <c r="C12" s="16"/>
      <c r="D12" s="16"/>
      <c r="E12" s="16"/>
      <c r="F12" s="16"/>
      <c r="G12" s="16"/>
      <c r="H12" s="16"/>
      <c r="I12" s="16"/>
      <c r="J12" s="16"/>
      <c r="K12" s="16"/>
      <c r="L12" s="16"/>
      <c r="M12" s="16"/>
      <c r="N12" s="16"/>
      <c r="O12" s="16"/>
      <c r="P12" s="16"/>
    </row>
    <row r="13" spans="1:16" x14ac:dyDescent="0.35">
      <c r="A13" s="16"/>
      <c r="B13" s="16" t="s">
        <v>923</v>
      </c>
      <c r="C13" s="16"/>
      <c r="D13" s="16"/>
      <c r="E13" s="16"/>
      <c r="F13" s="16"/>
      <c r="G13" s="16"/>
      <c r="H13" s="16"/>
      <c r="I13" s="16" t="s">
        <v>924</v>
      </c>
      <c r="J13" s="16"/>
      <c r="K13" s="16"/>
      <c r="L13" s="16"/>
      <c r="M13" s="16"/>
      <c r="N13" s="16"/>
      <c r="O13" s="16"/>
      <c r="P13" s="16"/>
    </row>
    <row r="14" spans="1:16" ht="3" customHeight="1" x14ac:dyDescent="0.35">
      <c r="A14" s="16"/>
      <c r="B14" s="16"/>
      <c r="C14" s="16"/>
      <c r="D14" s="16"/>
      <c r="E14" s="16"/>
      <c r="F14" s="16"/>
      <c r="G14" s="16"/>
      <c r="H14" s="16"/>
      <c r="I14" s="16"/>
      <c r="J14" s="16"/>
      <c r="K14" s="16"/>
      <c r="L14" s="16"/>
      <c r="M14" s="16"/>
      <c r="N14" s="16"/>
      <c r="O14" s="16"/>
      <c r="P14" s="16"/>
    </row>
    <row r="15" spans="1:16" x14ac:dyDescent="0.35">
      <c r="A15" s="16"/>
      <c r="B15" s="482"/>
      <c r="C15" s="482"/>
      <c r="D15" s="482"/>
      <c r="E15" s="482"/>
      <c r="F15" s="482"/>
      <c r="G15" s="482"/>
      <c r="H15" s="16"/>
      <c r="I15" s="482"/>
      <c r="J15" s="482"/>
      <c r="K15" s="482"/>
      <c r="L15" s="482"/>
      <c r="M15" s="482"/>
      <c r="N15" s="482"/>
      <c r="O15" s="17"/>
      <c r="P15" s="16"/>
    </row>
    <row r="16" spans="1:16" x14ac:dyDescent="0.35">
      <c r="A16" s="16"/>
      <c r="B16" s="16"/>
      <c r="C16" s="16"/>
      <c r="D16" s="16"/>
      <c r="E16" s="16"/>
      <c r="F16" s="16"/>
      <c r="G16" s="16"/>
      <c r="H16" s="16"/>
      <c r="I16" s="16"/>
      <c r="J16" s="16"/>
      <c r="K16" s="16"/>
      <c r="L16" s="16"/>
      <c r="M16" s="16"/>
      <c r="N16" s="16"/>
      <c r="O16" s="16"/>
      <c r="P16" s="16"/>
    </row>
    <row r="17" spans="1:16" x14ac:dyDescent="0.35">
      <c r="A17" s="16"/>
      <c r="B17" s="16" t="s">
        <v>6</v>
      </c>
      <c r="C17" s="16"/>
      <c r="D17" s="16"/>
      <c r="E17" s="16"/>
      <c r="F17" s="16"/>
      <c r="G17" s="16"/>
      <c r="H17" s="16"/>
      <c r="I17" s="16" t="s">
        <v>890</v>
      </c>
      <c r="J17" s="16"/>
      <c r="K17" s="16"/>
      <c r="L17" s="16"/>
      <c r="M17" s="16"/>
      <c r="N17" s="16"/>
      <c r="O17" s="16"/>
      <c r="P17" s="16"/>
    </row>
    <row r="18" spans="1:16" ht="3" customHeight="1" x14ac:dyDescent="0.35">
      <c r="A18" s="16"/>
      <c r="B18" s="16"/>
      <c r="C18" s="16"/>
      <c r="D18" s="16"/>
      <c r="E18" s="16"/>
      <c r="F18" s="16"/>
      <c r="G18" s="16"/>
      <c r="H18" s="16"/>
      <c r="I18" s="16"/>
      <c r="J18" s="16"/>
      <c r="K18" s="16"/>
      <c r="L18" s="16"/>
      <c r="M18" s="16"/>
      <c r="N18" s="16"/>
      <c r="O18" s="16"/>
      <c r="P18" s="16"/>
    </row>
    <row r="19" spans="1:16" x14ac:dyDescent="0.35">
      <c r="A19" s="16"/>
      <c r="B19" s="490"/>
      <c r="C19" s="482"/>
      <c r="D19" s="482"/>
      <c r="E19" s="482"/>
      <c r="F19" s="482"/>
      <c r="G19" s="482"/>
      <c r="H19" s="16"/>
      <c r="I19" s="482"/>
      <c r="J19" s="482"/>
      <c r="K19" s="482"/>
      <c r="L19" s="482"/>
      <c r="M19" s="482"/>
      <c r="N19" s="482"/>
      <c r="O19" s="16"/>
      <c r="P19" s="16"/>
    </row>
    <row r="20" spans="1:16" x14ac:dyDescent="0.35">
      <c r="A20" s="16"/>
      <c r="B20" s="16"/>
      <c r="C20" s="16"/>
      <c r="D20" s="16"/>
      <c r="E20" s="16"/>
      <c r="F20" s="16"/>
      <c r="G20" s="16"/>
      <c r="H20" s="16"/>
      <c r="I20" s="16"/>
      <c r="J20" s="16"/>
      <c r="K20" s="16"/>
      <c r="L20" s="16"/>
      <c r="M20" s="16"/>
      <c r="N20" s="16"/>
      <c r="O20" s="16"/>
      <c r="P20" s="16"/>
    </row>
    <row r="21" spans="1:16" x14ac:dyDescent="0.35">
      <c r="A21" s="16"/>
      <c r="B21" s="16" t="s">
        <v>889</v>
      </c>
      <c r="C21" s="16"/>
      <c r="D21" s="16"/>
      <c r="E21" s="16"/>
      <c r="F21" s="16"/>
      <c r="G21" s="16"/>
      <c r="H21" s="16"/>
      <c r="I21" s="16" t="s">
        <v>927</v>
      </c>
      <c r="J21" s="16"/>
      <c r="K21" s="16"/>
      <c r="L21" s="16"/>
      <c r="M21" s="16"/>
      <c r="N21" s="16"/>
      <c r="O21" s="16"/>
      <c r="P21" s="16"/>
    </row>
    <row r="22" spans="1:16" ht="3" customHeight="1" x14ac:dyDescent="0.35">
      <c r="A22" s="16"/>
      <c r="B22" s="16"/>
      <c r="C22" s="16"/>
      <c r="D22" s="16"/>
      <c r="E22" s="16"/>
      <c r="F22" s="16"/>
      <c r="G22" s="16"/>
      <c r="H22" s="16"/>
      <c r="I22" s="16"/>
      <c r="J22" s="16"/>
      <c r="K22" s="16"/>
      <c r="L22" s="16"/>
      <c r="M22" s="16"/>
      <c r="N22" s="16"/>
      <c r="O22" s="16"/>
      <c r="P22" s="16"/>
    </row>
    <row r="23" spans="1:16" x14ac:dyDescent="0.35">
      <c r="A23" s="16"/>
      <c r="B23" s="482" t="s">
        <v>913</v>
      </c>
      <c r="C23" s="482"/>
      <c r="D23" s="482"/>
      <c r="E23" s="482"/>
      <c r="F23" s="482"/>
      <c r="G23" s="482"/>
      <c r="H23" s="16"/>
      <c r="I23" s="489"/>
      <c r="J23" s="489"/>
      <c r="K23" s="489"/>
      <c r="L23" s="489"/>
      <c r="M23" s="489"/>
      <c r="N23" s="489"/>
      <c r="O23" s="16"/>
      <c r="P23" s="16"/>
    </row>
    <row r="24" spans="1:16" ht="14.5" customHeight="1" x14ac:dyDescent="0.35">
      <c r="A24" s="16"/>
      <c r="B24" s="16"/>
      <c r="C24" s="16"/>
      <c r="D24" s="16"/>
      <c r="E24" s="16"/>
      <c r="F24" s="16"/>
      <c r="G24" s="16"/>
      <c r="H24" s="16"/>
      <c r="I24" s="489"/>
      <c r="J24" s="489"/>
      <c r="K24" s="489"/>
      <c r="L24" s="489"/>
      <c r="M24" s="489"/>
      <c r="N24" s="489"/>
      <c r="O24" s="16"/>
      <c r="P24" s="16"/>
    </row>
    <row r="25" spans="1:16" x14ac:dyDescent="0.35">
      <c r="A25" s="16"/>
      <c r="B25" s="16" t="s">
        <v>892</v>
      </c>
      <c r="C25" s="16"/>
      <c r="D25" s="16"/>
      <c r="E25" s="16"/>
      <c r="F25" s="16"/>
      <c r="G25" s="16"/>
      <c r="H25" s="16"/>
      <c r="I25" s="489"/>
      <c r="J25" s="489"/>
      <c r="K25" s="489"/>
      <c r="L25" s="489"/>
      <c r="M25" s="489"/>
      <c r="N25" s="489"/>
      <c r="O25" s="16"/>
      <c r="P25" s="16"/>
    </row>
    <row r="26" spans="1:16" ht="3" customHeight="1" x14ac:dyDescent="0.35">
      <c r="A26" s="16"/>
      <c r="B26" s="16"/>
      <c r="C26" s="16"/>
      <c r="D26" s="16"/>
      <c r="E26" s="16"/>
      <c r="F26" s="16"/>
      <c r="G26" s="16"/>
      <c r="H26" s="16"/>
      <c r="I26" s="489"/>
      <c r="J26" s="489"/>
      <c r="K26" s="489"/>
      <c r="L26" s="489"/>
      <c r="M26" s="489"/>
      <c r="N26" s="489"/>
      <c r="O26" s="16"/>
      <c r="P26" s="16"/>
    </row>
    <row r="27" spans="1:16" x14ac:dyDescent="0.35">
      <c r="A27" s="16"/>
      <c r="B27" s="482" t="s">
        <v>895</v>
      </c>
      <c r="C27" s="482"/>
      <c r="D27" s="482"/>
      <c r="E27" s="482"/>
      <c r="F27" s="482"/>
      <c r="G27" s="482"/>
      <c r="H27" s="16"/>
      <c r="I27" s="489"/>
      <c r="J27" s="489"/>
      <c r="K27" s="489"/>
      <c r="L27" s="489"/>
      <c r="M27" s="489"/>
      <c r="N27" s="489"/>
      <c r="O27" s="16"/>
      <c r="P27" s="16"/>
    </row>
    <row r="28" spans="1:16" ht="14.5" customHeight="1" x14ac:dyDescent="0.35">
      <c r="A28" s="16"/>
      <c r="B28" s="16"/>
      <c r="C28" s="16"/>
      <c r="D28" s="16"/>
      <c r="E28" s="16"/>
      <c r="F28" s="16"/>
      <c r="G28" s="16"/>
      <c r="H28" s="16"/>
      <c r="I28" s="231"/>
      <c r="J28" s="231"/>
      <c r="K28" s="231"/>
      <c r="L28" s="231"/>
      <c r="M28" s="231"/>
      <c r="N28" s="231"/>
      <c r="O28" s="16"/>
      <c r="P28" s="16"/>
    </row>
    <row r="29" spans="1:16" x14ac:dyDescent="0.35">
      <c r="A29" s="16"/>
      <c r="B29" s="16"/>
      <c r="C29" s="16"/>
      <c r="D29" s="16"/>
      <c r="E29" s="16"/>
      <c r="F29" s="16"/>
      <c r="G29" s="16"/>
      <c r="H29" s="16"/>
      <c r="I29" s="491" t="s">
        <v>479</v>
      </c>
      <c r="J29" s="491"/>
      <c r="K29" s="491"/>
      <c r="L29" s="491"/>
      <c r="M29" s="491"/>
      <c r="N29" s="491"/>
      <c r="O29" s="16"/>
      <c r="P29" s="16"/>
    </row>
    <row r="30" spans="1:16" x14ac:dyDescent="0.35">
      <c r="A30" s="16"/>
      <c r="B30" s="16"/>
      <c r="C30" s="16"/>
      <c r="D30" s="16"/>
      <c r="E30" s="16"/>
      <c r="F30" s="16"/>
      <c r="G30" s="16"/>
      <c r="H30" s="16"/>
      <c r="I30" s="491"/>
      <c r="J30" s="491"/>
      <c r="K30" s="491"/>
      <c r="L30" s="491"/>
      <c r="M30" s="491"/>
      <c r="N30" s="491"/>
      <c r="O30" s="16"/>
      <c r="P30" s="16"/>
    </row>
    <row r="31" spans="1:16" x14ac:dyDescent="0.35">
      <c r="A31" s="16"/>
      <c r="B31" s="16"/>
      <c r="C31" s="16"/>
      <c r="D31" s="16"/>
      <c r="E31" s="16"/>
      <c r="F31" s="16"/>
      <c r="G31" s="16"/>
      <c r="H31" s="16"/>
      <c r="I31" s="492"/>
      <c r="J31" s="492"/>
      <c r="K31" s="492"/>
      <c r="L31" s="492"/>
      <c r="M31" s="492"/>
      <c r="N31" s="492"/>
      <c r="O31" s="16"/>
      <c r="P31" s="16"/>
    </row>
    <row r="32" spans="1:16" x14ac:dyDescent="0.35">
      <c r="A32" s="16"/>
      <c r="B32" s="16"/>
      <c r="C32" s="16"/>
      <c r="D32" s="16"/>
      <c r="E32" s="16"/>
      <c r="F32" s="16"/>
      <c r="G32" s="16"/>
      <c r="H32" s="16"/>
      <c r="I32" s="492"/>
      <c r="J32" s="492"/>
      <c r="K32" s="492"/>
      <c r="L32" s="492"/>
      <c r="M32" s="492"/>
      <c r="N32" s="492"/>
      <c r="O32" s="16"/>
      <c r="P32" s="16"/>
    </row>
    <row r="33" spans="1:16" x14ac:dyDescent="0.35">
      <c r="A33" s="16"/>
      <c r="B33" s="16"/>
      <c r="C33" s="16"/>
      <c r="D33" s="16"/>
      <c r="E33" s="16"/>
      <c r="F33" s="16"/>
      <c r="G33" s="16"/>
      <c r="H33" s="16"/>
      <c r="I33" s="492"/>
      <c r="J33" s="492"/>
      <c r="K33" s="492"/>
      <c r="L33" s="492"/>
      <c r="M33" s="492"/>
      <c r="N33" s="492"/>
      <c r="O33" s="16"/>
      <c r="P33" s="16"/>
    </row>
    <row r="34" spans="1:16" x14ac:dyDescent="0.35">
      <c r="A34" s="16"/>
      <c r="B34" s="16"/>
      <c r="C34" s="16"/>
      <c r="D34" s="16"/>
      <c r="E34" s="16"/>
      <c r="F34" s="16"/>
      <c r="G34" s="16"/>
      <c r="H34" s="16"/>
      <c r="I34" s="16"/>
      <c r="J34" s="16"/>
      <c r="K34" s="16"/>
      <c r="L34" s="16"/>
      <c r="M34" s="16"/>
      <c r="N34" s="16"/>
      <c r="O34" s="16"/>
      <c r="P34" s="16"/>
    </row>
    <row r="35" spans="1:16" x14ac:dyDescent="0.35">
      <c r="A35" s="16"/>
      <c r="B35" s="16" t="s">
        <v>880</v>
      </c>
      <c r="C35" s="16"/>
      <c r="D35" s="16"/>
      <c r="E35" s="16"/>
      <c r="F35" s="16"/>
      <c r="G35" s="16"/>
      <c r="H35" s="16"/>
      <c r="I35" s="16" t="s">
        <v>8</v>
      </c>
      <c r="J35" s="16"/>
      <c r="K35" s="16"/>
      <c r="L35" s="16"/>
      <c r="M35" s="16"/>
      <c r="N35" s="16"/>
      <c r="O35" s="16"/>
      <c r="P35" s="16"/>
    </row>
    <row r="36" spans="1:16" x14ac:dyDescent="0.35">
      <c r="A36" s="16"/>
      <c r="B36" s="16"/>
      <c r="C36" s="16"/>
      <c r="D36" s="16"/>
      <c r="E36" s="16"/>
      <c r="F36" s="16"/>
      <c r="G36" s="16"/>
      <c r="H36" s="16"/>
      <c r="I36" s="16"/>
      <c r="J36" s="16"/>
      <c r="K36" s="16"/>
      <c r="L36" s="16"/>
      <c r="M36" s="16"/>
      <c r="N36" s="16"/>
      <c r="O36" s="16"/>
      <c r="P36" s="16"/>
    </row>
    <row r="37" spans="1:16" x14ac:dyDescent="0.35">
      <c r="A37" s="16"/>
      <c r="B37" s="482" t="s">
        <v>9</v>
      </c>
      <c r="C37" s="482"/>
      <c r="D37" s="482"/>
      <c r="E37" s="482"/>
      <c r="F37" s="482"/>
      <c r="G37" s="482"/>
      <c r="H37" s="16"/>
      <c r="I37" s="482" t="s">
        <v>9</v>
      </c>
      <c r="J37" s="482"/>
      <c r="K37" s="482"/>
      <c r="L37" s="482"/>
      <c r="M37" s="482"/>
      <c r="N37" s="482"/>
      <c r="O37" s="16"/>
      <c r="P37" s="16"/>
    </row>
    <row r="38" spans="1:16" x14ac:dyDescent="0.35">
      <c r="A38" s="16"/>
      <c r="B38" s="16"/>
      <c r="C38" s="16"/>
      <c r="D38" s="16"/>
      <c r="E38" s="16"/>
      <c r="F38" s="16"/>
      <c r="G38" s="16"/>
      <c r="H38" s="16"/>
      <c r="I38" s="16"/>
      <c r="J38" s="16"/>
      <c r="K38" s="16"/>
      <c r="L38" s="16"/>
      <c r="M38" s="16"/>
      <c r="N38" s="16"/>
      <c r="O38" s="16"/>
      <c r="P38" s="16"/>
    </row>
    <row r="39" spans="1:16" x14ac:dyDescent="0.35">
      <c r="A39" s="16"/>
      <c r="B39" s="16" t="s">
        <v>10</v>
      </c>
      <c r="C39" s="16"/>
      <c r="D39" s="16"/>
      <c r="E39" s="16"/>
      <c r="F39" s="16"/>
      <c r="G39" s="16"/>
      <c r="H39" s="16"/>
      <c r="I39" s="483" t="s">
        <v>11</v>
      </c>
      <c r="J39" s="484"/>
      <c r="K39" s="16"/>
      <c r="L39" s="16"/>
      <c r="M39" s="16"/>
      <c r="N39" s="16"/>
      <c r="O39" s="16"/>
      <c r="P39" s="16"/>
    </row>
    <row r="40" spans="1:16" x14ac:dyDescent="0.35">
      <c r="A40" s="16"/>
      <c r="B40" s="16"/>
      <c r="C40" s="16"/>
      <c r="D40" s="16"/>
      <c r="E40" s="16"/>
      <c r="F40" s="16"/>
      <c r="G40" s="16"/>
      <c r="H40" s="16"/>
      <c r="I40" s="485"/>
      <c r="J40" s="486"/>
      <c r="K40" s="16"/>
      <c r="L40" s="16"/>
      <c r="M40" s="16"/>
      <c r="N40" s="16"/>
      <c r="O40" s="16"/>
      <c r="P40" s="16"/>
    </row>
    <row r="41" spans="1:16" x14ac:dyDescent="0.35">
      <c r="A41" s="16"/>
      <c r="B41" s="482" t="s">
        <v>9</v>
      </c>
      <c r="C41" s="482"/>
      <c r="D41" s="482"/>
      <c r="E41" s="482"/>
      <c r="F41" s="482"/>
      <c r="G41" s="482"/>
      <c r="H41" s="16"/>
      <c r="I41" s="487"/>
      <c r="J41" s="488"/>
      <c r="K41" s="16"/>
      <c r="L41" s="16"/>
      <c r="M41" s="16"/>
      <c r="N41" s="16"/>
      <c r="O41" s="16"/>
      <c r="P41" s="16"/>
    </row>
    <row r="42" spans="1:16" x14ac:dyDescent="0.35">
      <c r="A42" s="16"/>
      <c r="B42" s="16"/>
      <c r="C42" s="16"/>
      <c r="D42" s="16"/>
      <c r="E42" s="16"/>
      <c r="F42" s="16"/>
      <c r="G42" s="16"/>
      <c r="H42" s="16"/>
      <c r="I42" s="16"/>
      <c r="J42" s="16"/>
      <c r="K42" s="16"/>
      <c r="L42" s="16"/>
      <c r="M42" s="16"/>
      <c r="N42" s="16"/>
      <c r="O42" s="16"/>
      <c r="P42" s="16"/>
    </row>
    <row r="43" spans="1:16" hidden="1" x14ac:dyDescent="0.35">
      <c r="A43" s="16"/>
      <c r="H43" s="16"/>
      <c r="I43" s="16"/>
      <c r="J43" s="16"/>
      <c r="K43" s="16"/>
      <c r="L43" s="16"/>
      <c r="M43" s="16"/>
      <c r="N43" s="16"/>
      <c r="O43" s="16"/>
      <c r="P43" s="16"/>
    </row>
    <row r="44" spans="1:16" ht="3" hidden="1" customHeight="1" x14ac:dyDescent="0.35">
      <c r="A44" s="16"/>
      <c r="H44" s="16"/>
      <c r="K44" s="16"/>
      <c r="L44" s="16"/>
      <c r="M44" s="16"/>
      <c r="N44" s="16"/>
      <c r="O44" s="16"/>
      <c r="P44" s="16"/>
    </row>
    <row r="45" spans="1:16" hidden="1" x14ac:dyDescent="0.35">
      <c r="A45" s="16"/>
      <c r="H45" s="16"/>
      <c r="I45" s="16"/>
      <c r="J45" s="16"/>
      <c r="K45" s="16"/>
      <c r="L45" s="16"/>
      <c r="M45" s="16"/>
      <c r="N45" s="16"/>
      <c r="O45" s="16"/>
      <c r="P45" s="16"/>
    </row>
    <row r="46" spans="1:16" hidden="1" x14ac:dyDescent="0.35">
      <c r="A46" s="16"/>
      <c r="B46" s="16"/>
      <c r="C46" s="16"/>
      <c r="D46" s="16"/>
      <c r="E46" s="16"/>
      <c r="F46" s="16"/>
      <c r="G46" s="16"/>
      <c r="H46" s="16"/>
      <c r="I46" s="16"/>
      <c r="J46" s="16"/>
      <c r="K46" s="16"/>
      <c r="L46" s="16"/>
      <c r="M46" s="16"/>
      <c r="N46" s="16"/>
      <c r="O46" s="16"/>
      <c r="P46" s="16"/>
    </row>
    <row r="47" spans="1:16" hidden="1" x14ac:dyDescent="0.35">
      <c r="A47" s="16"/>
      <c r="B47" s="16"/>
      <c r="C47" s="16"/>
      <c r="D47" s="16"/>
      <c r="E47" s="16"/>
      <c r="F47" s="16"/>
      <c r="G47" s="16"/>
      <c r="H47" s="16"/>
      <c r="I47" s="16"/>
      <c r="J47" s="16"/>
      <c r="K47" s="16"/>
      <c r="L47" s="16"/>
      <c r="M47" s="16"/>
      <c r="N47" s="16"/>
      <c r="O47" s="16"/>
      <c r="P47" s="16"/>
    </row>
  </sheetData>
  <sheetProtection algorithmName="SHA-512" hashValue="urd0GGj8hwDf/NnbtusuFjmVSDpCx/yUCe1ss0Fs54Ycs8KHqb1l8wmOYzRnkqqrapJ5rWlWU+oylgZCnMwKqw==" saltValue="mI1kddX56Q6j9qIpJC6RQw==" spinCount="100000" sheet="1" selectLockedCells="1"/>
  <mergeCells count="18">
    <mergeCell ref="I15:N15"/>
    <mergeCell ref="I11:N11"/>
    <mergeCell ref="I7:N7"/>
    <mergeCell ref="B3:G3"/>
    <mergeCell ref="B37:G37"/>
    <mergeCell ref="B7:G7"/>
    <mergeCell ref="B11:G11"/>
    <mergeCell ref="B15:G15"/>
    <mergeCell ref="B19:G19"/>
    <mergeCell ref="I29:N30"/>
    <mergeCell ref="I31:N33"/>
    <mergeCell ref="B41:G41"/>
    <mergeCell ref="B23:G23"/>
    <mergeCell ref="I39:J41"/>
    <mergeCell ref="I19:N19"/>
    <mergeCell ref="I23:N27"/>
    <mergeCell ref="I37:N37"/>
    <mergeCell ref="B27:G27"/>
  </mergeCells>
  <conditionalFormatting sqref="B15:G15">
    <cfRule type="expression" dxfId="232" priority="7">
      <formula>SEARCH("e.g.",B15)=1</formula>
    </cfRule>
  </conditionalFormatting>
  <conditionalFormatting sqref="I15:N15">
    <cfRule type="expression" dxfId="231" priority="5">
      <formula>SEARCH("e.g.",I15)=1</formula>
    </cfRule>
  </conditionalFormatting>
  <conditionalFormatting sqref="I23:N28 I29">
    <cfRule type="cellIs" dxfId="230" priority="3" operator="equal">
      <formula>"Top 3 Scheme Objectives"</formula>
    </cfRule>
  </conditionalFormatting>
  <conditionalFormatting sqref="I35:N37 B35:G42">
    <cfRule type="expression" dxfId="229" priority="1858">
      <formula>$B$27="Off-Street"</formula>
    </cfRule>
  </conditionalFormatting>
  <hyperlinks>
    <hyperlink ref="I39:J41" location="Scoring!A1" display="Scoring" xr:uid="{5BC0FAAC-E758-43FD-A421-1F9DE1666E3F}"/>
  </hyperlinks>
  <pageMargins left="0.7" right="0.7" top="0.75" bottom="0.75" header="0.3" footer="0.3"/>
  <pageSetup paperSize="9" orientation="portrait" horizont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8D8C9C8B-80A2-453F-B50D-9D061E66C36F}">
          <x14:formula1>
            <xm:f>Validation!$A$2:$A$3</xm:f>
          </x14:formula1>
          <xm:sqref>B37:G37 I37:N37 B41:G41</xm:sqref>
        </x14:dataValidation>
        <x14:dataValidation type="list" allowBlank="1" showInputMessage="1" showErrorMessage="1" xr:uid="{67A24FFA-E472-418B-A847-FB684C67C28A}">
          <x14:formula1>
            <xm:f>Validation!$B$2:$B$3</xm:f>
          </x14:formula1>
          <xm:sqref>B27:G27</xm:sqref>
        </x14:dataValidation>
        <x14:dataValidation type="list" allowBlank="1" showInputMessage="1" showErrorMessage="1" xr:uid="{8D862322-29F9-404E-8C9E-72D5A65EBEDC}">
          <x14:formula1>
            <xm:f>Validation!$R$2:$R$9</xm:f>
          </x14:formula1>
          <xm:sqref>B23:G23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250A8-FF08-4949-975C-43CC529A20F3}">
  <sheetPr>
    <tabColor theme="9" tint="0.39997558519241921"/>
    <pageSetUpPr autoPageBreaks="0" fitToPage="1"/>
  </sheetPr>
  <dimension ref="A1:GH303"/>
  <sheetViews>
    <sheetView zoomScale="70" zoomScaleNormal="70" zoomScaleSheetLayoutView="70" workbookViewId="0">
      <pane ySplit="5" topLeftCell="A29" activePane="bottomLeft" state="frozen"/>
      <selection pane="bottomLeft" activeCell="O8" sqref="O8"/>
    </sheetView>
  </sheetViews>
  <sheetFormatPr defaultColWidth="9.1796875" defaultRowHeight="14.5" x14ac:dyDescent="0.35"/>
  <cols>
    <col min="1" max="1" width="1.26953125" style="2" customWidth="1"/>
    <col min="2" max="2" width="1.453125" style="91" customWidth="1"/>
    <col min="3" max="3" width="14.81640625" style="90" hidden="1" customWidth="1"/>
    <col min="4" max="4" width="4.81640625" style="90" customWidth="1"/>
    <col min="5" max="6" width="4.1796875" style="90" hidden="1" customWidth="1"/>
    <col min="7" max="7" width="20.6328125" customWidth="1"/>
    <col min="8" max="8" width="22.6328125" style="2" customWidth="1"/>
    <col min="9" max="12" width="32.81640625" style="2" customWidth="1"/>
    <col min="13" max="14" width="17.1796875" style="2" hidden="1" customWidth="1"/>
    <col min="15" max="15" width="13.453125" style="2" customWidth="1"/>
    <col min="16" max="16" width="14.26953125" style="2" customWidth="1"/>
    <col min="17" max="20" width="32.81640625" style="2" hidden="1" customWidth="1"/>
    <col min="21" max="41" width="34.1796875" style="2" hidden="1" customWidth="1"/>
    <col min="42" max="42" width="1.81640625" style="2" customWidth="1"/>
    <col min="43" max="43" width="48.7265625" style="406" customWidth="1"/>
    <col min="44" max="44" width="1.81640625" style="2" customWidth="1"/>
    <col min="45" max="45" width="38" style="402" customWidth="1"/>
    <col min="46" max="46" width="4" style="23" customWidth="1"/>
    <col min="47" max="47" width="8.81640625" hidden="1" customWidth="1"/>
    <col min="48" max="48" width="10.1796875" hidden="1" customWidth="1"/>
    <col min="49" max="49" width="10.54296875" style="2" hidden="1" customWidth="1"/>
    <col min="50" max="50" width="10.453125" style="2" hidden="1" customWidth="1"/>
    <col min="51" max="51" width="9.1796875" style="2" hidden="1" customWidth="1"/>
    <col min="52" max="52" width="37.81640625" style="2" hidden="1" customWidth="1"/>
    <col min="53" max="53" width="11.1796875" style="2" hidden="1" customWidth="1"/>
    <col min="54" max="71" width="34.1796875" style="2" hidden="1" customWidth="1"/>
    <col min="72" max="72" width="1.81640625" style="2" hidden="1" customWidth="1"/>
    <col min="73" max="93" width="34.1796875" style="2" hidden="1" customWidth="1"/>
    <col min="94" max="94" width="61.90625" style="294" hidden="1" customWidth="1"/>
    <col min="95" max="16384" width="9.1796875" style="2"/>
  </cols>
  <sheetData>
    <row r="1" spans="1:94" ht="15.5" x14ac:dyDescent="0.35">
      <c r="A1" s="23"/>
      <c r="B1" s="18"/>
      <c r="C1" s="25"/>
      <c r="D1" s="25"/>
      <c r="E1" s="25"/>
      <c r="F1" s="25"/>
      <c r="G1" s="162"/>
      <c r="H1" s="25"/>
      <c r="I1" s="25"/>
      <c r="J1" s="25"/>
      <c r="K1" s="25"/>
      <c r="L1" s="25"/>
      <c r="M1" s="25"/>
      <c r="N1" s="25"/>
      <c r="O1" s="25"/>
      <c r="P1" s="25"/>
      <c r="Q1" s="25"/>
      <c r="R1" s="25"/>
      <c r="S1" s="25"/>
      <c r="T1" s="25"/>
      <c r="U1" s="23"/>
      <c r="V1" s="23"/>
      <c r="W1" s="23"/>
      <c r="X1" s="23"/>
      <c r="Y1" s="23"/>
      <c r="Z1" s="23"/>
      <c r="AA1" s="23"/>
      <c r="AB1" s="23"/>
      <c r="AC1" s="23"/>
      <c r="AD1" s="23"/>
      <c r="AE1" s="23"/>
      <c r="AF1" s="23"/>
      <c r="AG1" s="23"/>
      <c r="AH1" s="23"/>
      <c r="AI1" s="23"/>
      <c r="AJ1" s="23"/>
      <c r="AK1" s="23"/>
      <c r="AL1" s="23"/>
      <c r="AM1" s="23"/>
      <c r="AN1" s="23"/>
      <c r="AO1" s="23"/>
      <c r="AP1" s="23"/>
      <c r="AQ1" s="76"/>
      <c r="AR1" s="23"/>
      <c r="AS1" s="321"/>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4" ht="16" thickBot="1" x14ac:dyDescent="0.4">
      <c r="A2" s="23"/>
      <c r="B2" s="18"/>
      <c r="C2" s="19"/>
      <c r="D2" s="23"/>
      <c r="E2" s="19"/>
      <c r="F2" s="19"/>
      <c r="G2" s="20"/>
      <c r="H2" s="20"/>
      <c r="I2" s="20"/>
      <c r="J2" s="20"/>
      <c r="K2" s="20"/>
      <c r="L2" s="23"/>
      <c r="M2" s="23"/>
      <c r="N2" s="23"/>
      <c r="O2" s="21"/>
      <c r="P2" s="23"/>
      <c r="Q2" s="20"/>
      <c r="R2" s="20"/>
      <c r="S2" s="20"/>
      <c r="T2" s="20"/>
      <c r="U2" s="22"/>
      <c r="V2" s="22"/>
      <c r="W2" s="22"/>
      <c r="X2" s="22"/>
      <c r="Y2" s="22"/>
      <c r="Z2" s="22"/>
      <c r="AA2" s="22"/>
      <c r="AB2" s="22"/>
      <c r="AC2" s="22"/>
      <c r="AD2" s="22"/>
      <c r="AE2" s="22"/>
      <c r="AF2" s="22"/>
      <c r="AG2" s="22"/>
      <c r="AH2" s="22"/>
      <c r="AI2" s="22"/>
      <c r="AJ2" s="22"/>
      <c r="AK2" s="22"/>
      <c r="AL2" s="22"/>
      <c r="AM2" s="22"/>
      <c r="AN2" s="22"/>
      <c r="AO2" s="22"/>
      <c r="AP2" s="23"/>
      <c r="AQ2" s="76"/>
      <c r="AR2" s="23"/>
      <c r="AS2" s="321"/>
      <c r="AW2" s="23"/>
      <c r="AX2" s="23"/>
      <c r="AY2" s="23"/>
      <c r="AZ2" s="23"/>
      <c r="BA2" s="23"/>
      <c r="BB2" s="22"/>
      <c r="BC2" s="22"/>
      <c r="BD2" s="22"/>
      <c r="BE2" s="22"/>
      <c r="BF2" s="22"/>
      <c r="BG2" s="22"/>
      <c r="BH2" s="22"/>
      <c r="BI2" s="22"/>
      <c r="BJ2" s="22"/>
      <c r="BK2" s="22"/>
      <c r="BL2" s="22"/>
      <c r="BM2" s="22"/>
      <c r="BN2" s="22"/>
      <c r="BO2" s="22"/>
      <c r="BP2" s="22"/>
      <c r="BQ2" s="22"/>
      <c r="BR2" s="22"/>
      <c r="BS2" s="22"/>
      <c r="BT2" s="23"/>
      <c r="BU2" s="22"/>
      <c r="BV2" s="22"/>
      <c r="BW2" s="22"/>
      <c r="BX2" s="22"/>
      <c r="BY2" s="22"/>
      <c r="BZ2" s="22"/>
      <c r="CA2" s="22"/>
      <c r="CB2" s="22"/>
      <c r="CC2" s="22"/>
      <c r="CD2" s="22"/>
      <c r="CE2" s="22"/>
      <c r="CF2" s="22"/>
      <c r="CG2" s="22"/>
      <c r="CH2" s="22"/>
      <c r="CI2" s="22"/>
      <c r="CJ2" s="22"/>
      <c r="CK2" s="22"/>
      <c r="CL2" s="22"/>
      <c r="CM2" s="22"/>
      <c r="CN2" s="22"/>
      <c r="CO2" s="22"/>
    </row>
    <row r="3" spans="1:94" ht="16" thickBot="1" x14ac:dyDescent="0.4">
      <c r="A3" s="23"/>
      <c r="B3" s="18"/>
      <c r="C3" s="502"/>
      <c r="D3" s="502"/>
      <c r="E3" s="503" t="s">
        <v>12</v>
      </c>
      <c r="F3" s="504" t="s">
        <v>13</v>
      </c>
      <c r="G3" s="521" t="s">
        <v>14</v>
      </c>
      <c r="H3" s="520" t="s">
        <v>893</v>
      </c>
      <c r="I3" s="525" t="s">
        <v>1266</v>
      </c>
      <c r="J3" s="516">
        <v>0</v>
      </c>
      <c r="K3" s="517">
        <v>1</v>
      </c>
      <c r="L3" s="518">
        <v>2</v>
      </c>
      <c r="M3" s="24"/>
      <c r="N3" s="24"/>
      <c r="O3" s="507" t="s">
        <v>11</v>
      </c>
      <c r="P3" s="509"/>
      <c r="Q3" s="507" t="s">
        <v>11</v>
      </c>
      <c r="R3" s="508"/>
      <c r="S3" s="508"/>
      <c r="T3" s="509"/>
      <c r="U3" s="505" t="s">
        <v>15</v>
      </c>
      <c r="V3" s="505"/>
      <c r="W3" s="505"/>
      <c r="X3" s="505"/>
      <c r="Y3" s="505"/>
      <c r="Z3" s="505"/>
      <c r="AA3" s="505"/>
      <c r="AB3" s="505"/>
      <c r="AC3" s="505"/>
      <c r="AD3" s="505"/>
      <c r="AE3" s="505"/>
      <c r="AF3" s="505"/>
      <c r="AG3" s="505"/>
      <c r="AH3" s="505"/>
      <c r="AI3" s="505"/>
      <c r="AJ3" s="505"/>
      <c r="AK3" s="505"/>
      <c r="AL3" s="505"/>
      <c r="AM3" s="505"/>
      <c r="AN3" s="506"/>
      <c r="AO3" s="130"/>
      <c r="AP3" s="23"/>
      <c r="AQ3" s="496" t="s">
        <v>930</v>
      </c>
      <c r="AR3" s="23"/>
      <c r="AS3" s="496" t="s">
        <v>929</v>
      </c>
      <c r="AW3" s="507" t="s">
        <v>18</v>
      </c>
      <c r="AX3" s="508"/>
      <c r="AY3" s="508"/>
      <c r="AZ3" s="509"/>
      <c r="BA3" s="499" t="s">
        <v>19</v>
      </c>
      <c r="BB3" s="505" t="s">
        <v>718</v>
      </c>
      <c r="BC3" s="505"/>
      <c r="BD3" s="505"/>
      <c r="BE3" s="505"/>
      <c r="BF3" s="505"/>
      <c r="BG3" s="505"/>
      <c r="BH3" s="505"/>
      <c r="BI3" s="505"/>
      <c r="BJ3" s="505"/>
      <c r="BK3" s="505"/>
      <c r="BL3" s="505"/>
      <c r="BM3" s="505"/>
      <c r="BN3" s="505"/>
      <c r="BO3" s="505"/>
      <c r="BP3" s="505"/>
      <c r="BQ3" s="505"/>
      <c r="BR3" s="505"/>
      <c r="BS3" s="505"/>
      <c r="BT3" s="23"/>
      <c r="BU3" s="505" t="s">
        <v>719</v>
      </c>
      <c r="BV3" s="505"/>
      <c r="BW3" s="505"/>
      <c r="BX3" s="505"/>
      <c r="BY3" s="505"/>
      <c r="BZ3" s="505"/>
      <c r="CA3" s="505"/>
      <c r="CB3" s="505"/>
      <c r="CC3" s="505"/>
      <c r="CD3" s="505"/>
      <c r="CE3" s="505"/>
      <c r="CF3" s="505"/>
      <c r="CG3" s="505"/>
      <c r="CH3" s="505"/>
      <c r="CI3" s="505"/>
      <c r="CJ3" s="505"/>
      <c r="CK3" s="505"/>
      <c r="CL3" s="505"/>
      <c r="CM3" s="505"/>
      <c r="CN3" s="506"/>
      <c r="CO3" s="130"/>
    </row>
    <row r="4" spans="1:94" ht="16" thickBot="1" x14ac:dyDescent="0.4">
      <c r="A4" s="23"/>
      <c r="B4" s="18"/>
      <c r="C4" s="502"/>
      <c r="D4" s="502"/>
      <c r="E4" s="503"/>
      <c r="F4" s="504"/>
      <c r="G4" s="521"/>
      <c r="H4" s="520"/>
      <c r="I4" s="525"/>
      <c r="J4" s="516"/>
      <c r="K4" s="517"/>
      <c r="L4" s="518"/>
      <c r="M4" s="24"/>
      <c r="N4" s="24"/>
      <c r="O4" s="510"/>
      <c r="P4" s="512"/>
      <c r="Q4" s="510"/>
      <c r="R4" s="511"/>
      <c r="S4" s="511"/>
      <c r="T4" s="512"/>
      <c r="U4" s="533" t="s">
        <v>21</v>
      </c>
      <c r="V4" s="530"/>
      <c r="W4" s="531"/>
      <c r="X4" s="526" t="s">
        <v>22</v>
      </c>
      <c r="Y4" s="527"/>
      <c r="Z4" s="527"/>
      <c r="AA4" s="530" t="s">
        <v>23</v>
      </c>
      <c r="AB4" s="530"/>
      <c r="AC4" s="531"/>
      <c r="AD4" s="526" t="s">
        <v>24</v>
      </c>
      <c r="AE4" s="527"/>
      <c r="AF4" s="527"/>
      <c r="AG4" s="530" t="s">
        <v>25</v>
      </c>
      <c r="AH4" s="530"/>
      <c r="AI4" s="531"/>
      <c r="AJ4" s="526" t="s">
        <v>26</v>
      </c>
      <c r="AK4" s="527"/>
      <c r="AL4" s="527"/>
      <c r="AM4" s="519" t="s">
        <v>27</v>
      </c>
      <c r="AN4" s="519"/>
      <c r="AO4" s="519"/>
      <c r="AP4" s="23"/>
      <c r="AQ4" s="497"/>
      <c r="AR4" s="23"/>
      <c r="AS4" s="497"/>
      <c r="AW4" s="510"/>
      <c r="AX4" s="511"/>
      <c r="AY4" s="511"/>
      <c r="AZ4" s="512"/>
      <c r="BA4" s="500"/>
      <c r="BB4" s="533" t="s">
        <v>802</v>
      </c>
      <c r="BC4" s="530"/>
      <c r="BD4" s="531"/>
      <c r="BE4" s="526" t="s">
        <v>12</v>
      </c>
      <c r="BF4" s="527"/>
      <c r="BG4" s="527"/>
      <c r="BH4" s="530" t="s">
        <v>13</v>
      </c>
      <c r="BI4" s="530"/>
      <c r="BJ4" s="531"/>
      <c r="BK4" s="526" t="s">
        <v>804</v>
      </c>
      <c r="BL4" s="527"/>
      <c r="BM4" s="527"/>
      <c r="BN4" s="530" t="s">
        <v>728</v>
      </c>
      <c r="BO4" s="530"/>
      <c r="BP4" s="531"/>
      <c r="BQ4" s="526" t="s">
        <v>726</v>
      </c>
      <c r="BR4" s="527"/>
      <c r="BS4" s="527"/>
      <c r="BT4" s="23"/>
      <c r="BU4" s="533" t="s">
        <v>717</v>
      </c>
      <c r="BV4" s="530"/>
      <c r="BW4" s="531"/>
      <c r="BX4" s="526" t="s">
        <v>674</v>
      </c>
      <c r="BY4" s="527"/>
      <c r="BZ4" s="527"/>
      <c r="CA4" s="530" t="s">
        <v>800</v>
      </c>
      <c r="CB4" s="530"/>
      <c r="CC4" s="531"/>
      <c r="CD4" s="526" t="s">
        <v>608</v>
      </c>
      <c r="CE4" s="527"/>
      <c r="CF4" s="527"/>
      <c r="CG4" s="530" t="s">
        <v>795</v>
      </c>
      <c r="CH4" s="530"/>
      <c r="CI4" s="531"/>
      <c r="CJ4" s="526" t="s">
        <v>796</v>
      </c>
      <c r="CK4" s="527"/>
      <c r="CL4" s="527"/>
      <c r="CM4" s="519" t="s">
        <v>730</v>
      </c>
      <c r="CN4" s="519"/>
      <c r="CO4" s="519"/>
      <c r="CP4" s="305" t="s">
        <v>1040</v>
      </c>
    </row>
    <row r="5" spans="1:94" ht="16" thickBot="1" x14ac:dyDescent="0.4">
      <c r="A5" s="23"/>
      <c r="B5" s="18"/>
      <c r="C5" s="502" t="s">
        <v>28</v>
      </c>
      <c r="D5" s="502"/>
      <c r="E5" s="503"/>
      <c r="F5" s="504"/>
      <c r="G5" s="521"/>
      <c r="H5" s="520"/>
      <c r="I5" s="525"/>
      <c r="J5" s="516"/>
      <c r="K5" s="517"/>
      <c r="L5" s="518"/>
      <c r="M5" s="24"/>
      <c r="N5" s="24"/>
      <c r="O5" s="513"/>
      <c r="P5" s="515"/>
      <c r="Q5" s="513"/>
      <c r="R5" s="514"/>
      <c r="S5" s="514"/>
      <c r="T5" s="515"/>
      <c r="U5" s="534"/>
      <c r="V5" s="519"/>
      <c r="W5" s="532"/>
      <c r="X5" s="528"/>
      <c r="Y5" s="529"/>
      <c r="Z5" s="529"/>
      <c r="AA5" s="519"/>
      <c r="AB5" s="519"/>
      <c r="AC5" s="532"/>
      <c r="AD5" s="528"/>
      <c r="AE5" s="529"/>
      <c r="AF5" s="529"/>
      <c r="AG5" s="519"/>
      <c r="AH5" s="519"/>
      <c r="AI5" s="532"/>
      <c r="AJ5" s="528"/>
      <c r="AK5" s="529"/>
      <c r="AL5" s="529"/>
      <c r="AM5" s="519"/>
      <c r="AN5" s="519"/>
      <c r="AO5" s="519"/>
      <c r="AP5" s="23"/>
      <c r="AQ5" s="498"/>
      <c r="AR5" s="23"/>
      <c r="AS5" s="498"/>
      <c r="AW5" s="513"/>
      <c r="AX5" s="514"/>
      <c r="AY5" s="514"/>
      <c r="AZ5" s="515"/>
      <c r="BA5" s="501"/>
      <c r="BB5" s="534"/>
      <c r="BC5" s="519"/>
      <c r="BD5" s="532"/>
      <c r="BE5" s="528"/>
      <c r="BF5" s="529"/>
      <c r="BG5" s="529"/>
      <c r="BH5" s="519"/>
      <c r="BI5" s="519"/>
      <c r="BJ5" s="532"/>
      <c r="BK5" s="528"/>
      <c r="BL5" s="529"/>
      <c r="BM5" s="529"/>
      <c r="BN5" s="519"/>
      <c r="BO5" s="519"/>
      <c r="BP5" s="532"/>
      <c r="BQ5" s="528"/>
      <c r="BR5" s="529"/>
      <c r="BS5" s="529"/>
      <c r="BT5" s="23"/>
      <c r="BU5" s="534"/>
      <c r="BV5" s="519"/>
      <c r="BW5" s="532"/>
      <c r="BX5" s="528"/>
      <c r="BY5" s="529"/>
      <c r="BZ5" s="529"/>
      <c r="CA5" s="519"/>
      <c r="CB5" s="519"/>
      <c r="CC5" s="532"/>
      <c r="CD5" s="528"/>
      <c r="CE5" s="529"/>
      <c r="CF5" s="529"/>
      <c r="CG5" s="519"/>
      <c r="CH5" s="519"/>
      <c r="CI5" s="532"/>
      <c r="CJ5" s="528"/>
      <c r="CK5" s="529"/>
      <c r="CL5" s="529"/>
      <c r="CM5" s="519"/>
      <c r="CN5" s="519"/>
      <c r="CO5" s="519"/>
    </row>
    <row r="6" spans="1:94" ht="29.5" thickBot="1" x14ac:dyDescent="0.4">
      <c r="A6" s="23"/>
      <c r="B6" s="18"/>
      <c r="C6" s="25"/>
      <c r="D6" s="25"/>
      <c r="E6" s="25"/>
      <c r="F6" s="25"/>
      <c r="G6" s="401" t="s">
        <v>928</v>
      </c>
      <c r="H6" s="24"/>
      <c r="I6" s="24"/>
      <c r="J6" s="25"/>
      <c r="K6" s="25"/>
      <c r="L6" s="25"/>
      <c r="M6" s="25"/>
      <c r="N6" s="25"/>
      <c r="O6" s="25"/>
      <c r="P6" s="25"/>
      <c r="Q6" s="25"/>
      <c r="R6" s="25"/>
      <c r="S6" s="25"/>
      <c r="T6" s="25"/>
      <c r="U6" s="23"/>
      <c r="V6" s="23"/>
      <c r="W6" s="23"/>
      <c r="X6" s="23"/>
      <c r="Y6" s="23"/>
      <c r="Z6" s="23"/>
      <c r="AA6" s="23"/>
      <c r="AB6" s="23"/>
      <c r="AC6" s="23"/>
      <c r="AD6" s="23"/>
      <c r="AE6" s="23"/>
      <c r="AF6" s="23"/>
      <c r="AG6" s="23"/>
      <c r="AH6" s="23"/>
      <c r="AI6" s="23"/>
      <c r="AJ6" s="23"/>
      <c r="AK6" s="23"/>
      <c r="AL6" s="23"/>
      <c r="AM6" s="23"/>
      <c r="AN6" s="23"/>
      <c r="AO6" s="23"/>
      <c r="AP6" s="23"/>
      <c r="AQ6" s="76"/>
      <c r="AR6" s="23"/>
      <c r="AS6" s="321"/>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94" t="s">
        <v>1107</v>
      </c>
    </row>
    <row r="7" spans="1:94" ht="21.5" customHeight="1" thickBot="1" x14ac:dyDescent="0.4">
      <c r="A7" s="23"/>
      <c r="B7" s="26"/>
      <c r="C7" s="27"/>
      <c r="D7" s="27"/>
      <c r="E7" s="27"/>
      <c r="F7" s="27"/>
      <c r="G7" s="522" t="s">
        <v>935</v>
      </c>
      <c r="H7" s="522"/>
      <c r="I7" s="522"/>
      <c r="J7" s="522"/>
      <c r="K7" s="522"/>
      <c r="L7" s="522"/>
      <c r="M7" s="28" t="s">
        <v>31</v>
      </c>
      <c r="N7" s="28" t="s">
        <v>1034</v>
      </c>
      <c r="O7" s="29" t="s">
        <v>32</v>
      </c>
      <c r="P7" s="29" t="s">
        <v>33</v>
      </c>
      <c r="Q7" s="30" t="s">
        <v>559</v>
      </c>
      <c r="R7" s="30" t="s">
        <v>34</v>
      </c>
      <c r="S7" s="30" t="s">
        <v>35</v>
      </c>
      <c r="T7" s="30" t="s">
        <v>36</v>
      </c>
      <c r="U7" s="30" t="s">
        <v>32</v>
      </c>
      <c r="V7" s="30" t="s">
        <v>33</v>
      </c>
      <c r="W7" s="30" t="s">
        <v>37</v>
      </c>
      <c r="X7" s="30" t="s">
        <v>32</v>
      </c>
      <c r="Y7" s="30" t="s">
        <v>33</v>
      </c>
      <c r="Z7" s="30" t="s">
        <v>37</v>
      </c>
      <c r="AA7" s="30" t="s">
        <v>32</v>
      </c>
      <c r="AB7" s="30" t="s">
        <v>33</v>
      </c>
      <c r="AC7" s="30"/>
      <c r="AD7" s="30" t="s">
        <v>32</v>
      </c>
      <c r="AE7" s="30" t="s">
        <v>33</v>
      </c>
      <c r="AF7" s="30"/>
      <c r="AG7" s="30" t="s">
        <v>32</v>
      </c>
      <c r="AH7" s="30" t="s">
        <v>33</v>
      </c>
      <c r="AI7" s="30"/>
      <c r="AJ7" s="30" t="s">
        <v>32</v>
      </c>
      <c r="AK7" s="30" t="s">
        <v>33</v>
      </c>
      <c r="AL7" s="30"/>
      <c r="AM7" s="30" t="s">
        <v>32</v>
      </c>
      <c r="AN7" s="30" t="s">
        <v>33</v>
      </c>
      <c r="AO7" s="30"/>
      <c r="AP7" s="23"/>
      <c r="AQ7" s="76"/>
      <c r="AR7" s="23"/>
      <c r="AS7" s="321"/>
      <c r="AW7" s="23"/>
      <c r="AX7" s="23"/>
      <c r="AY7" s="23"/>
      <c r="AZ7" s="23"/>
      <c r="BA7" s="23"/>
      <c r="BB7" s="30" t="s">
        <v>32</v>
      </c>
      <c r="BC7" s="30" t="s">
        <v>33</v>
      </c>
      <c r="BD7" s="30" t="s">
        <v>37</v>
      </c>
      <c r="BE7" s="30" t="s">
        <v>32</v>
      </c>
      <c r="BF7" s="30" t="s">
        <v>33</v>
      </c>
      <c r="BG7" s="30" t="s">
        <v>37</v>
      </c>
      <c r="BH7" s="30" t="s">
        <v>32</v>
      </c>
      <c r="BI7" s="30" t="s">
        <v>33</v>
      </c>
      <c r="BJ7" s="30" t="s">
        <v>37</v>
      </c>
      <c r="BK7" s="30" t="s">
        <v>32</v>
      </c>
      <c r="BL7" s="30" t="s">
        <v>33</v>
      </c>
      <c r="BM7" s="30" t="s">
        <v>37</v>
      </c>
      <c r="BN7" s="30" t="s">
        <v>32</v>
      </c>
      <c r="BO7" s="30" t="s">
        <v>33</v>
      </c>
      <c r="BP7" s="30" t="s">
        <v>37</v>
      </c>
      <c r="BQ7" s="30" t="s">
        <v>32</v>
      </c>
      <c r="BR7" s="30" t="s">
        <v>33</v>
      </c>
      <c r="BS7" s="30" t="s">
        <v>37</v>
      </c>
      <c r="BT7" s="23"/>
      <c r="BU7" s="30" t="s">
        <v>32</v>
      </c>
      <c r="BV7" s="30" t="s">
        <v>33</v>
      </c>
      <c r="BW7" s="30" t="s">
        <v>37</v>
      </c>
      <c r="BX7" s="30" t="s">
        <v>32</v>
      </c>
      <c r="BY7" s="30" t="s">
        <v>33</v>
      </c>
      <c r="BZ7" s="30" t="s">
        <v>37</v>
      </c>
      <c r="CA7" s="30" t="s">
        <v>32</v>
      </c>
      <c r="CB7" s="30" t="s">
        <v>33</v>
      </c>
      <c r="CC7" s="30" t="s">
        <v>37</v>
      </c>
      <c r="CD7" s="30" t="s">
        <v>32</v>
      </c>
      <c r="CE7" s="30" t="s">
        <v>33</v>
      </c>
      <c r="CF7" s="30" t="s">
        <v>37</v>
      </c>
      <c r="CG7" s="30" t="s">
        <v>32</v>
      </c>
      <c r="CH7" s="30" t="s">
        <v>33</v>
      </c>
      <c r="CI7" s="30" t="s">
        <v>37</v>
      </c>
      <c r="CJ7" s="30" t="s">
        <v>32</v>
      </c>
      <c r="CK7" s="30" t="s">
        <v>33</v>
      </c>
      <c r="CL7" s="30" t="s">
        <v>37</v>
      </c>
      <c r="CM7" s="30" t="s">
        <v>32</v>
      </c>
      <c r="CN7" s="30" t="s">
        <v>33</v>
      </c>
      <c r="CO7" s="30" t="s">
        <v>37</v>
      </c>
    </row>
    <row r="8" spans="1:94" ht="65.5" thickBot="1" x14ac:dyDescent="0.4">
      <c r="A8" s="23"/>
      <c r="B8" s="31"/>
      <c r="C8" s="32" t="str">
        <f>Validation!$S$2</f>
        <v xml:space="preserve">Group 1. Junctions </v>
      </c>
      <c r="D8" s="163">
        <v>1</v>
      </c>
      <c r="E8" s="33" t="s">
        <v>39</v>
      </c>
      <c r="F8" s="167" t="s">
        <v>20</v>
      </c>
      <c r="G8" s="173" t="s">
        <v>1041</v>
      </c>
      <c r="H8" s="174" t="s">
        <v>40</v>
      </c>
      <c r="I8" s="175" t="s">
        <v>956</v>
      </c>
      <c r="J8" s="230" t="s">
        <v>953</v>
      </c>
      <c r="K8" s="174" t="s">
        <v>954</v>
      </c>
      <c r="L8" s="176" t="s">
        <v>955</v>
      </c>
      <c r="M8" s="170">
        <f>IF(Project!$B$27="Off-Street",0,1)</f>
        <v>1</v>
      </c>
      <c r="N8" s="425">
        <f>IF(AND(O8="N/A",P8="N/A"),2,0)</f>
        <v>0</v>
      </c>
      <c r="O8" s="237"/>
      <c r="P8" s="237"/>
      <c r="Q8" s="441">
        <f>IF(OR($M8=0,$O8="N/A"),"NA",VLOOKUP($O8,Validation!$D$2:$E$7,2,0))</f>
        <v>0</v>
      </c>
      <c r="R8" s="129">
        <f>IF(OR($M8=0,$O8="N/A"),0,2)</f>
        <v>2</v>
      </c>
      <c r="S8" s="441">
        <f>IF(OR($M8=0,$P8="N/A"),"NA",VLOOKUP($P8,Validation!$D$2:$E$7,2,0))</f>
        <v>0</v>
      </c>
      <c r="T8" s="34">
        <f>IF(OR($M8=0,$P8="N/A"),0,2)</f>
        <v>2</v>
      </c>
      <c r="U8" s="35">
        <f>IF(VLOOKUP($H8,'How the score is generated'!$B$4:$I$73,2,0)="ü",$Q8,0)</f>
        <v>0</v>
      </c>
      <c r="V8" s="36">
        <f>IF(VLOOKUP($H8,'How the score is generated'!$B$4:$I$73,2,0)="ü",$S8,0)</f>
        <v>0</v>
      </c>
      <c r="W8" s="145">
        <f>IF(OR($M8=0,$N8=2),0,IF(VLOOKUP($H8,'How the score is generated'!$B$4:$I$73,2,0)="ü",2,0))</f>
        <v>0</v>
      </c>
      <c r="X8" s="35">
        <f>IF(VLOOKUP($H8,'How the score is generated'!$B$4:$I$73,3,0)="ü",$Q8,0)</f>
        <v>0</v>
      </c>
      <c r="Y8" s="36">
        <f>IF(VLOOKUP($H8,'How the score is generated'!$B$4:$I$73,3,0)="ü",$S8,0)</f>
        <v>0</v>
      </c>
      <c r="Z8" s="145">
        <f>IF(OR($M8=0,$N8=2),0,IF(VLOOKUP($H8,'How the score is generated'!$B$4:$I$73,3,0)="ü",2,0))</f>
        <v>2</v>
      </c>
      <c r="AA8" s="35">
        <f>IF(VLOOKUP($H8,'How the score is generated'!$B$4:$I$73,4,0)="ü",$Q8,0)</f>
        <v>0</v>
      </c>
      <c r="AB8" s="36">
        <f>IF(VLOOKUP($H8,'How the score is generated'!$B$4:$I$73,4,0)="ü",$S8,0)</f>
        <v>0</v>
      </c>
      <c r="AC8" s="145">
        <f>IF(OR($M8=0,$N8=2),0,IF(VLOOKUP($H8,'How the score is generated'!$B$4:$I$73,4,0)="ü",2,0))</f>
        <v>2</v>
      </c>
      <c r="AD8" s="35">
        <f>IF(VLOOKUP($H8,'How the score is generated'!$B$4:$I$73,5,0)="ü",$Q8,0)</f>
        <v>0</v>
      </c>
      <c r="AE8" s="36">
        <f>IF(VLOOKUP($H8,'How the score is generated'!$B$4:$I$73,5,0)="ü",$S8,0)</f>
        <v>0</v>
      </c>
      <c r="AF8" s="145">
        <f>IF(OR($M8=0,$N8=2),0,IF(VLOOKUP($H8,'How the score is generated'!$B$4:$I$73,5,0)="ü",2,0))</f>
        <v>0</v>
      </c>
      <c r="AG8" s="35">
        <f>IF(VLOOKUP($H8,'How the score is generated'!$B$4:$I$73,6,0)="ü",$Q8,0)</f>
        <v>0</v>
      </c>
      <c r="AH8" s="36">
        <f>IF(VLOOKUP($H8,'How the score is generated'!$B$4:$I$73,6,0)="ü",$S8,0)</f>
        <v>0</v>
      </c>
      <c r="AI8" s="145">
        <f>IF(OR($M8=0,$N8=2),0,IF(VLOOKUP($H8,'How the score is generated'!$B$4:$I$73,6,0)="ü",2,0))</f>
        <v>0</v>
      </c>
      <c r="AJ8" s="35">
        <f>IF(VLOOKUP($H8,'How the score is generated'!$B$4:$I$73,7,0)="ü",$Q8,0)</f>
        <v>0</v>
      </c>
      <c r="AK8" s="36">
        <f>IF(VLOOKUP($H8,'How the score is generated'!$B$4:$I$73,7,0)="ü",$S8,0)</f>
        <v>0</v>
      </c>
      <c r="AL8" s="145">
        <f>IF(OR($M8=0,$N8=2),0,IF(VLOOKUP($H8,'How the score is generated'!$B$4:$I$73,7,0)="ü",2,0))</f>
        <v>0</v>
      </c>
      <c r="AM8" s="35">
        <f>IF(VLOOKUP($H8,'How the score is generated'!$B$4:$I$73,8,0)="ü",$Q8,0)</f>
        <v>0</v>
      </c>
      <c r="AN8" s="36">
        <f>IF(VLOOKUP($H8,'How the score is generated'!$B$4:$I$73,8,0)="ü",$S8,0)</f>
        <v>0</v>
      </c>
      <c r="AO8" s="239">
        <f>IF(OR($M8=0,$N8=2),0,IF(VLOOKUP($H8,'How the score is generated'!$B$4:$I$73,8,0)="ü",2,0))</f>
        <v>0</v>
      </c>
      <c r="AP8" s="442"/>
      <c r="AQ8" s="404" t="s">
        <v>957</v>
      </c>
      <c r="AR8" s="23"/>
      <c r="AS8" s="146"/>
      <c r="AW8" s="34"/>
      <c r="AX8" s="34" t="str">
        <f>IF(AW8="Amber",IF(S8=0,"Residual Amber",""),"")</f>
        <v/>
      </c>
      <c r="AY8" s="34" t="str">
        <f>IF(M8=0,"",IF(O8="","",O8))</f>
        <v/>
      </c>
      <c r="AZ8" s="34" t="str">
        <f>IF(M8=0,"",IF(P8="","",P8))</f>
        <v/>
      </c>
      <c r="BA8" s="34" t="str">
        <f>D8&amp;". "&amp;H8</f>
        <v>1. Left/right hook collisions at junctions or side roads</v>
      </c>
      <c r="BB8" s="35">
        <f>IF(VLOOKUP($H8,'How the score is generated (H)'!$B$4:$H$73,2,0)="ü",$Q8,0)</f>
        <v>0</v>
      </c>
      <c r="BC8" s="36">
        <f>IF(VLOOKUP($H8,'How the score is generated (H)'!$B$4:$H$73,2,0)="ü",$S8,0)</f>
        <v>0</v>
      </c>
      <c r="BD8" s="145">
        <f>IF(OR($M8=0,$N8=2),0,IF(VLOOKUP($H8,'How the score is generated (H)'!$B$4:$H$73,2,0)="ü",2,0))</f>
        <v>2</v>
      </c>
      <c r="BE8" s="35">
        <f>IF(VLOOKUP($H8,'How the score is generated (H)'!$B$4:$H$73,3,0)="ü",$Q8,0)</f>
        <v>0</v>
      </c>
      <c r="BF8" s="36">
        <f>IF(VLOOKUP($H8,'How the score is generated (H)'!$B$4:$H$73,3,0)="ü",$S8,0)</f>
        <v>0</v>
      </c>
      <c r="BG8" s="145">
        <f>IF(OR($M8=0,$N8=2),0,IF(VLOOKUP($H8,'How the score is generated (H)'!$B$4:$H$73,3,0)="ü",2,0))</f>
        <v>2</v>
      </c>
      <c r="BH8" s="35">
        <f>IF(VLOOKUP($H8,'How the score is generated (H)'!$B$4:$H$73,4,0)="ü",$Q8,0)</f>
        <v>0</v>
      </c>
      <c r="BI8" s="36">
        <f>IF(VLOOKUP($H8,'How the score is generated (H)'!$B$4:$H$73,4,0)="ü",$S8,0)</f>
        <v>0</v>
      </c>
      <c r="BJ8" s="145">
        <f>IF(OR($M8=0,$N8=2),0,IF(VLOOKUP($H8,'How the score is generated (H)'!$B$4:$H$73,4,0)="ü",2,0))</f>
        <v>2</v>
      </c>
      <c r="BK8" s="35">
        <f>IF(VLOOKUP($H8,'How the score is generated (H)'!$B$4:$H$73,5,0)="ü",$Q8,0)</f>
        <v>0</v>
      </c>
      <c r="BL8" s="36">
        <f>IF(VLOOKUP($H8,'How the score is generated (H)'!$B$4:$H$73,5,0)="ü",$S8,0)</f>
        <v>0</v>
      </c>
      <c r="BM8" s="145">
        <f>IF(OR($M8=0,$N8=2),0,IF(VLOOKUP($H8,'How the score is generated (H)'!$B$4:$H$73,5,0)="ü",2,0))</f>
        <v>0</v>
      </c>
      <c r="BN8" s="35">
        <f>IF(VLOOKUP($H8,'How the score is generated (H)'!$B$4:$H$73,6,0)="ü",$Q8,0)</f>
        <v>0</v>
      </c>
      <c r="BO8" s="36">
        <f>IF(VLOOKUP($H8,'How the score is generated (H)'!$B$4:$H$73,6,0)="ü",$S8,0)</f>
        <v>0</v>
      </c>
      <c r="BP8" s="145">
        <f>IF(OR($M8=0,$N8=2),0,IF(VLOOKUP($H8,'How the score is generated (H)'!$B$4:$H$73,6,0)="ü",2,0))</f>
        <v>2</v>
      </c>
      <c r="BQ8" s="35">
        <f>IF(VLOOKUP($H8,'How the score is generated (H)'!$B$4:$H$73,7,0)="ü",$Q8,0)</f>
        <v>0</v>
      </c>
      <c r="BR8" s="36">
        <f>IF(VLOOKUP($H8,'How the score is generated (H)'!$B$4:$H$73,7,0)="ü",$S8,0)</f>
        <v>0</v>
      </c>
      <c r="BS8" s="145">
        <f>IF(OR($M8=0,$N8=2),0,IF(VLOOKUP($H8,'How the score is generated (H)'!$B$4:$H$73,7,0)="ü",2,0))</f>
        <v>0</v>
      </c>
      <c r="BT8" s="23"/>
      <c r="BU8" s="35">
        <f>IF(VLOOKUP($H8,'How the score is generated (P)'!$B$4:$I$73,2,0)="ü",$Q8,0)</f>
        <v>0</v>
      </c>
      <c r="BV8" s="36">
        <f>IF(VLOOKUP($H8,'How the score is generated (P)'!$B$4:$I$73,2,0)="ü",$S8,0)</f>
        <v>0</v>
      </c>
      <c r="BW8" s="145">
        <f>IF(OR($M8=0,$N8=2),0,IF(VLOOKUP($H8,'How the score is generated (P)'!$B$4:$I$73,2,0)="ü",2,0))</f>
        <v>2</v>
      </c>
      <c r="BX8" s="35">
        <f>IF(VLOOKUP($H8,'How the score is generated (P)'!$B$4:$I$73,3,0)="ü",$Q8,0)</f>
        <v>0</v>
      </c>
      <c r="BY8" s="36">
        <f>IF(VLOOKUP($H8,'How the score is generated (P)'!$B$4:$I$73,3,0)="ü",$S8,0)</f>
        <v>0</v>
      </c>
      <c r="BZ8" s="145">
        <f>IF(OR($M8=0,$N8=2),0,IF(VLOOKUP($H8,'How the score is generated (P)'!$B$4:$I$73,3,0)="ü",2,0))</f>
        <v>0</v>
      </c>
      <c r="CA8" s="35">
        <f>IF(VLOOKUP($H8,'How the score is generated (P)'!$B$4:$I$73,4,0)="ü",$Q8,0)</f>
        <v>0</v>
      </c>
      <c r="CB8" s="36">
        <f>IF(VLOOKUP($H8,'How the score is generated (P)'!$B$4:$I$73,4,0)="ü",$S8,0)</f>
        <v>0</v>
      </c>
      <c r="CC8" s="145">
        <f>IF(OR($M8=0,$N8=2),0,IF(VLOOKUP($H8,'How the score is generated (P)'!$B$4:$I$73,4,0)="ü",2,0))</f>
        <v>0</v>
      </c>
      <c r="CD8" s="35">
        <f>IF(VLOOKUP($H8,'How the score is generated (P)'!$B$4:$I$73,5,0)="ü",$Q8,0)</f>
        <v>0</v>
      </c>
      <c r="CE8" s="36">
        <f>IF(VLOOKUP($H8,'How the score is generated (P)'!$B$4:$I$73,5,0)="ü",$S8,0)</f>
        <v>0</v>
      </c>
      <c r="CF8" s="145">
        <f>IF(OR($M8=0,$N8=2),0,IF(VLOOKUP($H8,'How the score is generated (P)'!$B$4:$I$73,5,0)="ü",2,0))</f>
        <v>0</v>
      </c>
      <c r="CG8" s="35">
        <f>IF(VLOOKUP($H8,'How the score is generated (P)'!$B$4:$I$73,6,0)="ü",$Q8,0)</f>
        <v>0</v>
      </c>
      <c r="CH8" s="36">
        <f>IF(VLOOKUP($H8,'How the score is generated (P)'!$B$4:$I$73,6,0)="ü",$S8,0)</f>
        <v>0</v>
      </c>
      <c r="CI8" s="145">
        <f>IF(OR($M8=0,$N8=2),0,IF(VLOOKUP($H8,'How the score is generated (P)'!$B$4:$I$73,6,0)="ü",2,0))</f>
        <v>0</v>
      </c>
      <c r="CJ8" s="35">
        <f>IF(VLOOKUP($H8,'How the score is generated (P)'!$B$4:$I$73,7,0)="ü",$Q8,0)</f>
        <v>0</v>
      </c>
      <c r="CK8" s="36">
        <f>IF(VLOOKUP($H8,'How the score is generated (P)'!$B$4:$I$73,7,0)="ü",$S8,0)</f>
        <v>0</v>
      </c>
      <c r="CL8" s="145">
        <f>IF(OR($M8=0,$N8=2),0,IF(VLOOKUP($H8,'How the score is generated (P)'!$B$4:$I$73,7,0)="ü",2,0))</f>
        <v>0</v>
      </c>
      <c r="CM8" s="35">
        <f>IF(VLOOKUP($H8,'How the score is generated (P)'!$B$4:$I$73,8,0)="ü",$Q8,0)</f>
        <v>0</v>
      </c>
      <c r="CN8" s="36">
        <f>IF(VLOOKUP($H8,'How the score is generated (P)'!$B$4:$I$73,8,0)="ü",$S8,0)</f>
        <v>0</v>
      </c>
      <c r="CO8" s="145">
        <f>IF(OR($M8=0,$N8=2),0,IF(VLOOKUP($H8,'How the score is generated (P)'!$B$4:$I$73,8,0)="ü",2,0))</f>
        <v>0</v>
      </c>
      <c r="CP8" s="300" t="s">
        <v>1039</v>
      </c>
    </row>
    <row r="9" spans="1:94" ht="72" customHeight="1" thickBot="1" x14ac:dyDescent="0.4">
      <c r="A9" s="23"/>
      <c r="B9" s="31"/>
      <c r="C9" s="37" t="str">
        <f>Validation!$S$2</f>
        <v xml:space="preserve">Group 1. Junctions </v>
      </c>
      <c r="D9" s="164">
        <v>2</v>
      </c>
      <c r="E9" s="38" t="s">
        <v>43</v>
      </c>
      <c r="F9" s="168" t="s">
        <v>20</v>
      </c>
      <c r="G9" s="39" t="s">
        <v>44</v>
      </c>
      <c r="H9" s="41" t="s">
        <v>1133</v>
      </c>
      <c r="I9" s="40" t="s">
        <v>1130</v>
      </c>
      <c r="J9" s="41" t="s">
        <v>959</v>
      </c>
      <c r="K9" s="41" t="s">
        <v>1141</v>
      </c>
      <c r="L9" s="42" t="s">
        <v>958</v>
      </c>
      <c r="M9" s="170">
        <f>IF(Project!$B$27="Off-Street",0,1)</f>
        <v>1</v>
      </c>
      <c r="N9" s="425">
        <f>IF(AND(O9="N/A",P9="N/A"),2,0)</f>
        <v>0</v>
      </c>
      <c r="O9" s="237"/>
      <c r="P9" s="144"/>
      <c r="Q9" s="441">
        <f>IF(OR($M9=0,$O9="N/A"),"NA",VLOOKUP($O9,Validation!$D$2:$E$7,2,0))</f>
        <v>0</v>
      </c>
      <c r="R9" s="129">
        <f>IF(OR($M9=0,$O9="N/A"),0,2)</f>
        <v>2</v>
      </c>
      <c r="S9" s="441">
        <f>IF(OR($M9=0,$P9="N/A"),"NA",VLOOKUP($P9,Validation!$D$2:$E$7,2,0))</f>
        <v>0</v>
      </c>
      <c r="T9" s="34">
        <f>IF(OR($M9=0,$P9="N/A"),0,2)</f>
        <v>2</v>
      </c>
      <c r="U9" s="35">
        <f>IF(VLOOKUP($H9,'How the score is generated'!$B$4:$I$73,2,0)="ü",$Q9,0)</f>
        <v>0</v>
      </c>
      <c r="V9" s="36">
        <f>IF(VLOOKUP($H9,'How the score is generated'!$B$4:$I$73,2,0)="ü",$S9,0)</f>
        <v>0</v>
      </c>
      <c r="W9" s="145">
        <f>IF(OR($M9=0,$N9=2),0,IF(VLOOKUP($H9,'How the score is generated'!$B$4:$I$73,2,0)="ü",2,0))</f>
        <v>0</v>
      </c>
      <c r="X9" s="35">
        <f>IF(VLOOKUP($H9,'How the score is generated'!$B$4:$I$73,3,0)="ü",$Q9,0)</f>
        <v>0</v>
      </c>
      <c r="Y9" s="36">
        <f>IF(VLOOKUP($H9,'How the score is generated'!$B$4:$I$73,3,0)="ü",$S9,0)</f>
        <v>0</v>
      </c>
      <c r="Z9" s="145">
        <f>IF(OR($M9=0,$N9=2),0,IF(VLOOKUP($H9,'How the score is generated'!$B$4:$I$73,3,0)="ü",2,0))</f>
        <v>0</v>
      </c>
      <c r="AA9" s="35">
        <f>IF(VLOOKUP($H9,'How the score is generated'!$B$4:$I$73,4,0)="ü",$Q9,0)</f>
        <v>0</v>
      </c>
      <c r="AB9" s="36">
        <f>IF(VLOOKUP($H9,'How the score is generated'!$B$4:$I$73,4,0)="ü",$S9,0)</f>
        <v>0</v>
      </c>
      <c r="AC9" s="145">
        <f>IF(OR($M9=0,$N9=2),0,IF(VLOOKUP($H9,'How the score is generated'!$B$4:$I$73,4,0)="ü",2,0))</f>
        <v>2</v>
      </c>
      <c r="AD9" s="35">
        <f>IF(VLOOKUP($H9,'How the score is generated'!$B$4:$I$73,5,0)="ü",$Q9,0)</f>
        <v>0</v>
      </c>
      <c r="AE9" s="36">
        <f>IF(VLOOKUP($H9,'How the score is generated'!$B$4:$I$73,5,0)="ü",$S9,0)</f>
        <v>0</v>
      </c>
      <c r="AF9" s="145">
        <f>IF(OR($M9=0,$N9=2),0,IF(VLOOKUP($H9,'How the score is generated'!$B$4:$I$73,5,0)="ü",2,0))</f>
        <v>0</v>
      </c>
      <c r="AG9" s="35">
        <f>IF(VLOOKUP($H9,'How the score is generated'!$B$4:$I$73,6,0)="ü",$Q9,0)</f>
        <v>0</v>
      </c>
      <c r="AH9" s="36">
        <f>IF(VLOOKUP($H9,'How the score is generated'!$B$4:$I$73,6,0)="ü",$S9,0)</f>
        <v>0</v>
      </c>
      <c r="AI9" s="145">
        <f>IF(OR($M9=0,$N9=2),0,IF(VLOOKUP($H9,'How the score is generated'!$B$4:$I$73,6,0)="ü",2,0))</f>
        <v>0</v>
      </c>
      <c r="AJ9" s="35">
        <f>IF(VLOOKUP($H9,'How the score is generated'!$B$4:$I$73,7,0)="ü",$Q9,0)</f>
        <v>0</v>
      </c>
      <c r="AK9" s="36">
        <f>IF(VLOOKUP($H9,'How the score is generated'!$B$4:$I$73,7,0)="ü",$S9,0)</f>
        <v>0</v>
      </c>
      <c r="AL9" s="145">
        <f>IF(OR($M9=0,$N9=2),0,IF(VLOOKUP($H9,'How the score is generated'!$B$4:$I$73,7,0)="ü",2,0))</f>
        <v>0</v>
      </c>
      <c r="AM9" s="35">
        <f>IF(VLOOKUP($H9,'How the score is generated'!$B$4:$I$73,8,0)="ü",$Q9,0)</f>
        <v>0</v>
      </c>
      <c r="AN9" s="36">
        <f>IF(VLOOKUP($H9,'How the score is generated'!$B$4:$I$73,8,0)="ü",$S9,0)</f>
        <v>0</v>
      </c>
      <c r="AO9" s="145">
        <f>IF(OR($M9=0,$N9=2),0,IF(VLOOKUP($H9,'How the score is generated'!$B$4:$I$73,8,0)="ü",2,0))</f>
        <v>0</v>
      </c>
      <c r="AP9" s="23"/>
      <c r="AQ9" s="407" t="s">
        <v>997</v>
      </c>
      <c r="AR9" s="23"/>
      <c r="AS9" s="146"/>
      <c r="AW9" s="34"/>
      <c r="AX9" s="34" t="str">
        <f>IF(AW9="Amber",IF(S9=0,"Residual Amber",""),"")</f>
        <v/>
      </c>
      <c r="AY9" s="34" t="str">
        <f>IF(M9=0,"",IF(O9="","",O9))</f>
        <v/>
      </c>
      <c r="AZ9" s="34" t="str">
        <f>IF(M9=0,"",IF(P9="","",P9))</f>
        <v/>
      </c>
      <c r="BA9" s="34" t="str">
        <f>D9&amp;". "&amp;H9</f>
        <v>2. Application of LTN 1/20 Junction Assessment Tool</v>
      </c>
      <c r="BB9" s="35">
        <f>IF(VLOOKUP($H9,'How the score is generated (H)'!$B$4:$H$73,2,0)="ü",$Q9,0)</f>
        <v>0</v>
      </c>
      <c r="BC9" s="36">
        <f>IF(VLOOKUP($H9,'How the score is generated (H)'!$B$4:$H$73,2,0)="ü",$S9,0)</f>
        <v>0</v>
      </c>
      <c r="BD9" s="145">
        <f>IF(OR($M9=0,$N9=2),0,IF(VLOOKUP($H9,'How the score is generated (H)'!$B$4:$H$73,2,0)="ü",2,0))</f>
        <v>2</v>
      </c>
      <c r="BE9" s="35">
        <f>IF(VLOOKUP($H9,'How the score is generated (H)'!$B$4:$H$73,3,0)="ü",$Q9,0)</f>
        <v>0</v>
      </c>
      <c r="BF9" s="36">
        <f>IF(VLOOKUP($H9,'How the score is generated (H)'!$B$4:$H$73,3,0)="ü",$S9,0)</f>
        <v>0</v>
      </c>
      <c r="BG9" s="145">
        <f>IF(OR($M9=0,$N9=2),0,IF(VLOOKUP($H9,'How the score is generated (H)'!$B$4:$H$73,3,0)="ü",2,0))</f>
        <v>0</v>
      </c>
      <c r="BH9" s="35">
        <f>IF(VLOOKUP($H9,'How the score is generated (H)'!$B$4:$H$73,4,0)="ü",$Q9,0)</f>
        <v>0</v>
      </c>
      <c r="BI9" s="36">
        <f>IF(VLOOKUP($H9,'How the score is generated (H)'!$B$4:$H$73,4,0)="ü",$S9,0)</f>
        <v>0</v>
      </c>
      <c r="BJ9" s="145">
        <f>IF(OR($M9=0,$N9=2),0,IF(VLOOKUP($H9,'How the score is generated (H)'!$B$4:$H$73,4,0)="ü",2,0))</f>
        <v>2</v>
      </c>
      <c r="BK9" s="35">
        <f>IF(VLOOKUP($H9,'How the score is generated (H)'!$B$4:$H$73,5,0)="ü",$Q9,0)</f>
        <v>0</v>
      </c>
      <c r="BL9" s="36">
        <f>IF(VLOOKUP($H9,'How the score is generated (H)'!$B$4:$H$73,5,0)="ü",$S9,0)</f>
        <v>0</v>
      </c>
      <c r="BM9" s="145">
        <f>IF(OR($M9=0,$N9=2),0,IF(VLOOKUP($H9,'How the score is generated (H)'!$B$4:$H$73,5,0)="ü",2,0))</f>
        <v>0</v>
      </c>
      <c r="BN9" s="35">
        <f>IF(VLOOKUP($H9,'How the score is generated (H)'!$B$4:$H$73,6,0)="ü",$Q9,0)</f>
        <v>0</v>
      </c>
      <c r="BO9" s="36">
        <f>IF(VLOOKUP($H9,'How the score is generated (H)'!$B$4:$H$73,6,0)="ü",$S9,0)</f>
        <v>0</v>
      </c>
      <c r="BP9" s="145">
        <f>IF(OR($M9=0,$N9=2),0,IF(VLOOKUP($H9,'How the score is generated (H)'!$B$4:$H$73,6,0)="ü",2,0))</f>
        <v>0</v>
      </c>
      <c r="BQ9" s="35">
        <f>IF(VLOOKUP($H9,'How the score is generated (H)'!$B$4:$H$73,7,0)="ü",$Q9,0)</f>
        <v>0</v>
      </c>
      <c r="BR9" s="36">
        <f>IF(VLOOKUP($H9,'How the score is generated (H)'!$B$4:$H$73,7,0)="ü",$S9,0)</f>
        <v>0</v>
      </c>
      <c r="BS9" s="145">
        <f>IF(OR($M9=0,$N9=2),0,IF(VLOOKUP($H9,'How the score is generated (H)'!$B$4:$H$73,7,0)="ü",2,0))</f>
        <v>0</v>
      </c>
      <c r="BT9" s="23"/>
      <c r="BU9" s="35">
        <f>IF(VLOOKUP($H9,'How the score is generated (P)'!$B$4:$I$73,2,0)="ü",$Q9,0)</f>
        <v>0</v>
      </c>
      <c r="BV9" s="36">
        <f>IF(VLOOKUP($H9,'How the score is generated (P)'!$B$4:$I$73,2,0)="ü",$S9,0)</f>
        <v>0</v>
      </c>
      <c r="BW9" s="145">
        <f>IF(OR($M9=0,$N9=2),0,IF(VLOOKUP($H9,'How the score is generated (P)'!$B$4:$I$73,2,0)="ü",2,0))</f>
        <v>2</v>
      </c>
      <c r="BX9" s="35">
        <f>IF(VLOOKUP($H9,'How the score is generated (P)'!$B$4:$I$73,3,0)="ü",$Q9,0)</f>
        <v>0</v>
      </c>
      <c r="BY9" s="36">
        <f>IF(VLOOKUP($H9,'How the score is generated (P)'!$B$4:$I$73,3,0)="ü",$S9,0)</f>
        <v>0</v>
      </c>
      <c r="BZ9" s="145">
        <f>IF(OR($M9=0,$N9=2),0,IF(VLOOKUP($H9,'How the score is generated (P)'!$B$4:$I$73,3,0)="ü",2,0))</f>
        <v>0</v>
      </c>
      <c r="CA9" s="35">
        <f>IF(VLOOKUP($H9,'How the score is generated (P)'!$B$4:$I$73,4,0)="ü",$Q9,0)</f>
        <v>0</v>
      </c>
      <c r="CB9" s="36">
        <f>IF(VLOOKUP($H9,'How the score is generated (P)'!$B$4:$I$73,4,0)="ü",$S9,0)</f>
        <v>0</v>
      </c>
      <c r="CC9" s="145">
        <f>IF(OR($M9=0,$N9=2),0,IF(VLOOKUP($H9,'How the score is generated (P)'!$B$4:$I$73,4,0)="ü",2,0))</f>
        <v>0</v>
      </c>
      <c r="CD9" s="35">
        <f>IF(VLOOKUP($H9,'How the score is generated (P)'!$B$4:$I$73,5,0)="ü",$Q9,0)</f>
        <v>0</v>
      </c>
      <c r="CE9" s="36">
        <f>IF(VLOOKUP($H9,'How the score is generated (P)'!$B$4:$I$73,5,0)="ü",$S9,0)</f>
        <v>0</v>
      </c>
      <c r="CF9" s="145">
        <f>IF(OR($M9=0,$N9=2),0,IF(VLOOKUP($H9,'How the score is generated (P)'!$B$4:$I$73,5,0)="ü",2,0))</f>
        <v>0</v>
      </c>
      <c r="CG9" s="35">
        <f>IF(VLOOKUP($H9,'How the score is generated (P)'!$B$4:$I$73,6,0)="ü",$Q9,0)</f>
        <v>0</v>
      </c>
      <c r="CH9" s="36">
        <f>IF(VLOOKUP($H9,'How the score is generated (P)'!$B$4:$I$73,6,0)="ü",$S9,0)</f>
        <v>0</v>
      </c>
      <c r="CI9" s="145">
        <f>IF(OR($M9=0,$N9=2),0,IF(VLOOKUP($H9,'How the score is generated (P)'!$B$4:$I$73,6,0)="ü",2,0))</f>
        <v>0</v>
      </c>
      <c r="CJ9" s="35">
        <f>IF(VLOOKUP($H9,'How the score is generated (P)'!$B$4:$I$73,7,0)="ü",$Q9,0)</f>
        <v>0</v>
      </c>
      <c r="CK9" s="36">
        <f>IF(VLOOKUP($H9,'How the score is generated (P)'!$B$4:$I$73,7,0)="ü",$S9,0)</f>
        <v>0</v>
      </c>
      <c r="CL9" s="145">
        <f>IF(OR($M9=0,$N9=2),0,IF(VLOOKUP($H9,'How the score is generated (P)'!$B$4:$I$73,7,0)="ü",2,0))</f>
        <v>0</v>
      </c>
      <c r="CM9" s="35">
        <f>IF(VLOOKUP($H9,'How the score is generated (P)'!$B$4:$I$73,8,0)="ü",$Q9,0)</f>
        <v>0</v>
      </c>
      <c r="CN9" s="36">
        <f>IF(VLOOKUP($H9,'How the score is generated (P)'!$B$4:$I$73,8,0)="ü",$S9,0)</f>
        <v>0</v>
      </c>
      <c r="CO9" s="145">
        <f>IF(OR($M9=0,$N9=2),0,IF(VLOOKUP($H9,'How the score is generated (P)'!$B$4:$I$73,8,0)="ü",2,0))</f>
        <v>0</v>
      </c>
      <c r="CP9" s="300" t="s">
        <v>1042</v>
      </c>
    </row>
    <row r="10" spans="1:94" ht="214" customHeight="1" thickBot="1" x14ac:dyDescent="0.4">
      <c r="A10" s="23"/>
      <c r="B10" s="31"/>
      <c r="C10" s="43" t="str">
        <f>Validation!$S$2</f>
        <v xml:space="preserve">Group 1. Junctions </v>
      </c>
      <c r="D10" s="164">
        <v>3</v>
      </c>
      <c r="E10" s="44" t="s">
        <v>39</v>
      </c>
      <c r="F10" s="168" t="s">
        <v>20</v>
      </c>
      <c r="G10" s="39" t="s">
        <v>961</v>
      </c>
      <c r="H10" s="41" t="s">
        <v>1134</v>
      </c>
      <c r="I10" s="40" t="s">
        <v>1136</v>
      </c>
      <c r="J10" s="41" t="s">
        <v>1138</v>
      </c>
      <c r="K10" s="41" t="s">
        <v>1135</v>
      </c>
      <c r="L10" s="42" t="s">
        <v>1137</v>
      </c>
      <c r="M10" s="170">
        <f>IF(Project!$B$27="Off-Street",0,1)</f>
        <v>1</v>
      </c>
      <c r="N10" s="425">
        <f>IF(AND(O10="N/A",P10="N/A"),2,0)</f>
        <v>0</v>
      </c>
      <c r="O10" s="237"/>
      <c r="P10" s="144"/>
      <c r="Q10" s="441">
        <f>IF(OR($M10=0,$O10="N/A"),"NA",VLOOKUP($O10,Validation!$D$2:$E$7,2,0))</f>
        <v>0</v>
      </c>
      <c r="R10" s="129">
        <f>IF(OR($M10=0,$O10="N/A"),0,2)</f>
        <v>2</v>
      </c>
      <c r="S10" s="441">
        <f>IF(OR($M10=0,$P10="N/A"),"NA",VLOOKUP($P10,Validation!$D$2:$E$7,2,0))</f>
        <v>0</v>
      </c>
      <c r="T10" s="34">
        <f>IF(OR($M10=0,$P10="N/A"),0,2)</f>
        <v>2</v>
      </c>
      <c r="U10" s="35">
        <f>IF(VLOOKUP($H10,'How the score is generated'!$B$4:$I$73,2,0)="ü",$Q10,0)</f>
        <v>0</v>
      </c>
      <c r="V10" s="36">
        <f>IF(VLOOKUP($H10,'How the score is generated'!$B$4:$I$73,2,0)="ü",$S10,0)</f>
        <v>0</v>
      </c>
      <c r="W10" s="145">
        <f>IF(OR($M10=0,$N10=2),0,IF(VLOOKUP($H10,'How the score is generated'!$B$4:$I$73,2,0)="ü",2,0))</f>
        <v>0</v>
      </c>
      <c r="X10" s="35">
        <f>IF(VLOOKUP($H10,'How the score is generated'!$B$4:$I$73,3,0)="ü",$Q10,0)</f>
        <v>0</v>
      </c>
      <c r="Y10" s="36">
        <f>IF(VLOOKUP($H10,'How the score is generated'!$B$4:$I$73,3,0)="ü",$S10,0)</f>
        <v>0</v>
      </c>
      <c r="Z10" s="145">
        <f>IF(OR($M10=0,$N10=2),0,IF(VLOOKUP($H10,'How the score is generated'!$B$4:$I$73,3,0)="ü",2,0))</f>
        <v>2</v>
      </c>
      <c r="AA10" s="35">
        <f>IF(VLOOKUP($H10,'How the score is generated'!$B$4:$I$73,4,0)="ü",$Q10,0)</f>
        <v>0</v>
      </c>
      <c r="AB10" s="36">
        <f>IF(VLOOKUP($H10,'How the score is generated'!$B$4:$I$73,4,0)="ü",$S10,0)</f>
        <v>0</v>
      </c>
      <c r="AC10" s="145">
        <f>IF(OR($M10=0,$N10=2),0,IF(VLOOKUP($H10,'How the score is generated'!$B$4:$I$73,4,0)="ü",2,0))</f>
        <v>2</v>
      </c>
      <c r="AD10" s="35">
        <f>IF(VLOOKUP($H10,'How the score is generated'!$B$4:$I$73,5,0)="ü",$Q10,0)</f>
        <v>0</v>
      </c>
      <c r="AE10" s="36">
        <f>IF(VLOOKUP($H10,'How the score is generated'!$B$4:$I$73,5,0)="ü",$S10,0)</f>
        <v>0</v>
      </c>
      <c r="AF10" s="145">
        <f>IF(OR($M10=0,$N10=2),0,IF(VLOOKUP($H10,'How the score is generated'!$B$4:$I$73,5,0)="ü",2,0))</f>
        <v>0</v>
      </c>
      <c r="AG10" s="35">
        <f>IF(VLOOKUP($H10,'How the score is generated'!$B$4:$I$73,6,0)="ü",$Q10,0)</f>
        <v>0</v>
      </c>
      <c r="AH10" s="36">
        <f>IF(VLOOKUP($H10,'How the score is generated'!$B$4:$I$73,6,0)="ü",$S10,0)</f>
        <v>0</v>
      </c>
      <c r="AI10" s="145">
        <f>IF(OR($M10=0,$N10=2),0,IF(VLOOKUP($H10,'How the score is generated'!$B$4:$I$73,6,0)="ü",2,0))</f>
        <v>0</v>
      </c>
      <c r="AJ10" s="35">
        <f>IF(VLOOKUP($H10,'How the score is generated'!$B$4:$I$73,7,0)="ü",$Q10,0)</f>
        <v>0</v>
      </c>
      <c r="AK10" s="36">
        <f>IF(VLOOKUP($H10,'How the score is generated'!$B$4:$I$73,7,0)="ü",$S10,0)</f>
        <v>0</v>
      </c>
      <c r="AL10" s="145">
        <f>IF(OR($M10=0,$N10=2),0,IF(VLOOKUP($H10,'How the score is generated'!$B$4:$I$73,7,0)="ü",2,0))</f>
        <v>0</v>
      </c>
      <c r="AM10" s="35">
        <f>IF(VLOOKUP($H10,'How the score is generated'!$B$4:$I$73,8,0)="ü",$Q10,0)</f>
        <v>0</v>
      </c>
      <c r="AN10" s="36">
        <f>IF(VLOOKUP($H10,'How the score is generated'!$B$4:$I$73,8,0)="ü",$S10,0)</f>
        <v>0</v>
      </c>
      <c r="AO10" s="145">
        <f>IF(OR($M10=0,$N10=2),0,IF(VLOOKUP($H10,'How the score is generated'!$B$4:$I$73,8,0)="ü",2,0))</f>
        <v>0</v>
      </c>
      <c r="AP10" s="23"/>
      <c r="AQ10" s="407" t="s">
        <v>1250</v>
      </c>
      <c r="AR10" s="23"/>
      <c r="AS10" s="146"/>
      <c r="AW10" s="34"/>
      <c r="AX10" s="34" t="str">
        <f>IF(AW10="Amber",IF(S10=0,"Residual Amber",""),"")</f>
        <v/>
      </c>
      <c r="AY10" s="34" t="str">
        <f>IF(M10=0,"",IF(O10="","",O10))</f>
        <v/>
      </c>
      <c r="AZ10" s="34" t="str">
        <f>IF(M10=0,"",IF(P10="","",P10))</f>
        <v/>
      </c>
      <c r="BA10" s="34" t="str">
        <f>D10&amp;". "&amp;H10</f>
        <v>3. Pedestrian and cycle continuity, priority, accessibility and legibility across side roads</v>
      </c>
      <c r="BB10" s="35">
        <f>IF(VLOOKUP($H10,'How the score is generated (H)'!$B$4:$H$73,2,0)="ü",$Q10,0)</f>
        <v>0</v>
      </c>
      <c r="BC10" s="36">
        <f>IF(VLOOKUP($H10,'How the score is generated (H)'!$B$4:$H$73,2,0)="ü",$S10,0)</f>
        <v>0</v>
      </c>
      <c r="BD10" s="145">
        <f>IF(OR($M10=0,$N10=2),0,IF(VLOOKUP($H10,'How the score is generated (H)'!$B$4:$H$73,2,0)="ü",2,0))</f>
        <v>2</v>
      </c>
      <c r="BE10" s="35">
        <f>IF(VLOOKUP($H10,'How the score is generated (H)'!$B$4:$H$73,3,0)="ü",$Q10,0)</f>
        <v>0</v>
      </c>
      <c r="BF10" s="36">
        <f>IF(VLOOKUP($H10,'How the score is generated (H)'!$B$4:$H$73,3,0)="ü",$S10,0)</f>
        <v>0</v>
      </c>
      <c r="BG10" s="145">
        <f>IF(OR($M10=0,$N10=2),0,IF(VLOOKUP($H10,'How the score is generated (H)'!$B$4:$H$73,3,0)="ü",2,0))</f>
        <v>2</v>
      </c>
      <c r="BH10" s="35">
        <f>IF(VLOOKUP($H10,'How the score is generated (H)'!$B$4:$H$73,4,0)="ü",$Q10,0)</f>
        <v>0</v>
      </c>
      <c r="BI10" s="36">
        <f>IF(VLOOKUP($H10,'How the score is generated (H)'!$B$4:$H$73,4,0)="ü",$S10,0)</f>
        <v>0</v>
      </c>
      <c r="BJ10" s="145">
        <f>IF(OR($M10=0,$N10=2),0,IF(VLOOKUP($H10,'How the score is generated (H)'!$B$4:$H$73,4,0)="ü",2,0))</f>
        <v>2</v>
      </c>
      <c r="BK10" s="35">
        <f>IF(VLOOKUP($H10,'How the score is generated (H)'!$B$4:$H$73,5,0)="ü",$Q10,0)</f>
        <v>0</v>
      </c>
      <c r="BL10" s="36">
        <f>IF(VLOOKUP($H10,'How the score is generated (H)'!$B$4:$H$73,5,0)="ü",$S10,0)</f>
        <v>0</v>
      </c>
      <c r="BM10" s="145">
        <f>IF(OR($M10=0,$N10=2),0,IF(VLOOKUP($H10,'How the score is generated (H)'!$B$4:$H$73,5,0)="ü",2,0))</f>
        <v>0</v>
      </c>
      <c r="BN10" s="35">
        <f>IF(VLOOKUP($H10,'How the score is generated (H)'!$B$4:$H$73,6,0)="ü",$Q10,0)</f>
        <v>0</v>
      </c>
      <c r="BO10" s="36">
        <f>IF(VLOOKUP($H10,'How the score is generated (H)'!$B$4:$H$73,6,0)="ü",$S10,0)</f>
        <v>0</v>
      </c>
      <c r="BP10" s="145">
        <f>IF(OR($M10=0,$N10=2),0,IF(VLOOKUP($H10,'How the score is generated (H)'!$B$4:$H$73,6,0)="ü",2,0))</f>
        <v>2</v>
      </c>
      <c r="BQ10" s="35">
        <f>IF(VLOOKUP($H10,'How the score is generated (H)'!$B$4:$H$73,7,0)="ü",$Q10,0)</f>
        <v>0</v>
      </c>
      <c r="BR10" s="36">
        <f>IF(VLOOKUP($H10,'How the score is generated (H)'!$B$4:$H$73,7,0)="ü",$S10,0)</f>
        <v>0</v>
      </c>
      <c r="BS10" s="145">
        <f>IF(OR($M10=0,$N10=2),0,IF(VLOOKUP($H10,'How the score is generated (H)'!$B$4:$H$73,7,0)="ü",2,0))</f>
        <v>0</v>
      </c>
      <c r="BT10" s="23"/>
      <c r="BU10" s="35">
        <f>IF(VLOOKUP($H10,'How the score is generated (P)'!$B$4:$I$73,2,0)="ü",$Q10,0)</f>
        <v>0</v>
      </c>
      <c r="BV10" s="36">
        <f>IF(VLOOKUP($H10,'How the score is generated (P)'!$B$4:$I$73,2,0)="ü",$S10,0)</f>
        <v>0</v>
      </c>
      <c r="BW10" s="145">
        <f>IF(OR($M10=0,$N10=2),0,IF(VLOOKUP($H10,'How the score is generated (P)'!$B$4:$I$73,2,0)="ü",2,0))</f>
        <v>0</v>
      </c>
      <c r="BX10" s="35">
        <f>IF(VLOOKUP($H10,'How the score is generated (P)'!$B$4:$I$73,3,0)="ü",$Q10,0)</f>
        <v>0</v>
      </c>
      <c r="BY10" s="36">
        <f>IF(VLOOKUP($H10,'How the score is generated (P)'!$B$4:$I$73,3,0)="ü",$S10,0)</f>
        <v>0</v>
      </c>
      <c r="BZ10" s="145">
        <f>IF(OR($M10=0,$N10=2),0,IF(VLOOKUP($H10,'How the score is generated (P)'!$B$4:$I$73,3,0)="ü",2,0))</f>
        <v>0</v>
      </c>
      <c r="CA10" s="35">
        <f>IF(VLOOKUP($H10,'How the score is generated (P)'!$B$4:$I$73,4,0)="ü",$Q10,0)</f>
        <v>0</v>
      </c>
      <c r="CB10" s="36">
        <f>IF(VLOOKUP($H10,'How the score is generated (P)'!$B$4:$I$73,4,0)="ü",$S10,0)</f>
        <v>0</v>
      </c>
      <c r="CC10" s="145">
        <f>IF(OR($M10=0,$N10=2),0,IF(VLOOKUP($H10,'How the score is generated (P)'!$B$4:$I$73,4,0)="ü",2,0))</f>
        <v>0</v>
      </c>
      <c r="CD10" s="35">
        <f>IF(VLOOKUP($H10,'How the score is generated (P)'!$B$4:$I$73,5,0)="ü",$Q10,0)</f>
        <v>0</v>
      </c>
      <c r="CE10" s="36">
        <f>IF(VLOOKUP($H10,'How the score is generated (P)'!$B$4:$I$73,5,0)="ü",$S10,0)</f>
        <v>0</v>
      </c>
      <c r="CF10" s="145">
        <f>IF(OR($M10=0,$N10=2),0,IF(VLOOKUP($H10,'How the score is generated (P)'!$B$4:$I$73,5,0)="ü",2,0))</f>
        <v>2</v>
      </c>
      <c r="CG10" s="35">
        <f>IF(VLOOKUP($H10,'How the score is generated (P)'!$B$4:$I$73,6,0)="ü",$Q10,0)</f>
        <v>0</v>
      </c>
      <c r="CH10" s="36">
        <f>IF(VLOOKUP($H10,'How the score is generated (P)'!$B$4:$I$73,6,0)="ü",$S10,0)</f>
        <v>0</v>
      </c>
      <c r="CI10" s="145">
        <f>IF(OR($M10=0,$N10=2),0,IF(VLOOKUP($H10,'How the score is generated (P)'!$B$4:$I$73,6,0)="ü",2,0))</f>
        <v>2</v>
      </c>
      <c r="CJ10" s="35">
        <f>IF(VLOOKUP($H10,'How the score is generated (P)'!$B$4:$I$73,7,0)="ü",$Q10,0)</f>
        <v>0</v>
      </c>
      <c r="CK10" s="36">
        <f>IF(VLOOKUP($H10,'How the score is generated (P)'!$B$4:$I$73,7,0)="ü",$S10,0)</f>
        <v>0</v>
      </c>
      <c r="CL10" s="145">
        <f>IF(OR($M10=0,$N10=2),0,IF(VLOOKUP($H10,'How the score is generated (P)'!$B$4:$I$73,7,0)="ü",2,0))</f>
        <v>2</v>
      </c>
      <c r="CM10" s="35">
        <f>IF(VLOOKUP($H10,'How the score is generated (P)'!$B$4:$I$73,8,0)="ü",$Q10,0)</f>
        <v>0</v>
      </c>
      <c r="CN10" s="36">
        <f>IF(VLOOKUP($H10,'How the score is generated (P)'!$B$4:$I$73,8,0)="ü",$S10,0)</f>
        <v>0</v>
      </c>
      <c r="CO10" s="145">
        <f>IF(OR($M10=0,$N10=2),0,IF(VLOOKUP($H10,'How the score is generated (P)'!$B$4:$I$73,8,0)="ü",2,0))</f>
        <v>0</v>
      </c>
      <c r="CP10" s="300"/>
    </row>
    <row r="11" spans="1:94" ht="62.5" customHeight="1" thickBot="1" x14ac:dyDescent="0.4">
      <c r="A11" s="23"/>
      <c r="B11" s="31"/>
      <c r="C11" s="43" t="str">
        <f>Validation!$S$2</f>
        <v xml:space="preserve">Group 1. Junctions </v>
      </c>
      <c r="D11" s="164">
        <v>4</v>
      </c>
      <c r="E11" s="38" t="s">
        <v>43</v>
      </c>
      <c r="F11" s="168" t="s">
        <v>20</v>
      </c>
      <c r="G11" s="39" t="s">
        <v>1139</v>
      </c>
      <c r="H11" s="41" t="s">
        <v>1140</v>
      </c>
      <c r="I11" s="390" t="s">
        <v>896</v>
      </c>
      <c r="J11" s="41" t="s">
        <v>964</v>
      </c>
      <c r="K11" s="41" t="s">
        <v>999</v>
      </c>
      <c r="L11" s="42" t="s">
        <v>1100</v>
      </c>
      <c r="M11" s="170">
        <f>IF(Project!$B$27="Off-Street",0,1)</f>
        <v>1</v>
      </c>
      <c r="N11" s="425">
        <f>IF(AND(O11="N/A",P11="N/A"),2,0)</f>
        <v>0</v>
      </c>
      <c r="O11" s="237"/>
      <c r="P11" s="144"/>
      <c r="Q11" s="441">
        <f>IF(OR($M11=0,$O11="N/A"),"NA",VLOOKUP($O11,Validation!$D$2:$E$7,2,0))</f>
        <v>0</v>
      </c>
      <c r="R11" s="129">
        <f>IF(OR($M11=0,$O11="N/A"),0,2)</f>
        <v>2</v>
      </c>
      <c r="S11" s="441">
        <f>IF(OR($M11=0,$P11="N/A"),"NA",VLOOKUP($P11,Validation!$D$2:$E$7,2,0))</f>
        <v>0</v>
      </c>
      <c r="T11" s="34">
        <f>IF(OR($M11=0,$P11="N/A"),0,2)</f>
        <v>2</v>
      </c>
      <c r="U11" s="35">
        <f>IF(VLOOKUP($H11,'How the score is generated'!$B$4:$I$73,2,0)="ü",$Q11,0)</f>
        <v>0</v>
      </c>
      <c r="V11" s="36">
        <f>IF(VLOOKUP($H11,'How the score is generated'!$B$4:$I$73,2,0)="ü",$S11,0)</f>
        <v>0</v>
      </c>
      <c r="W11" s="145">
        <f>IF(OR($M11=0,$N11=2),0,IF(VLOOKUP($H11,'How the score is generated'!$B$4:$I$73,2,0)="ü",2,0))</f>
        <v>0</v>
      </c>
      <c r="X11" s="35">
        <f>IF(VLOOKUP($H11,'How the score is generated'!$B$4:$I$73,3,0)="ü",$Q11,0)</f>
        <v>0</v>
      </c>
      <c r="Y11" s="36">
        <f>IF(VLOOKUP($H11,'How the score is generated'!$B$4:$I$73,3,0)="ü",$S11,0)</f>
        <v>0</v>
      </c>
      <c r="Z11" s="145">
        <f>IF(OR($M11=0,$N11=2),0,IF(VLOOKUP($H11,'How the score is generated'!$B$4:$I$73,3,0)="ü",2,0))</f>
        <v>0</v>
      </c>
      <c r="AA11" s="35">
        <f>IF(VLOOKUP($H11,'How the score is generated'!$B$4:$I$73,4,0)="ü",$Q11,0)</f>
        <v>0</v>
      </c>
      <c r="AB11" s="36">
        <f>IF(VLOOKUP($H11,'How the score is generated'!$B$4:$I$73,4,0)="ü",$S11,0)</f>
        <v>0</v>
      </c>
      <c r="AC11" s="145">
        <f>IF(OR($M11=0,$N11=2),0,IF(VLOOKUP($H11,'How the score is generated'!$B$4:$I$73,4,0)="ü",2,0))</f>
        <v>2</v>
      </c>
      <c r="AD11" s="35">
        <f>IF(VLOOKUP($H11,'How the score is generated'!$B$4:$I$73,5,0)="ü",$Q11,0)</f>
        <v>0</v>
      </c>
      <c r="AE11" s="36">
        <f>IF(VLOOKUP($H11,'How the score is generated'!$B$4:$I$73,5,0)="ü",$S11,0)</f>
        <v>0</v>
      </c>
      <c r="AF11" s="145">
        <f>IF(OR($M11=0,$N11=2),0,IF(VLOOKUP($H11,'How the score is generated'!$B$4:$I$73,5,0)="ü",2,0))</f>
        <v>0</v>
      </c>
      <c r="AG11" s="35">
        <f>IF(VLOOKUP($H11,'How the score is generated'!$B$4:$I$73,6,0)="ü",$Q11,0)</f>
        <v>0</v>
      </c>
      <c r="AH11" s="36">
        <f>IF(VLOOKUP($H11,'How the score is generated'!$B$4:$I$73,6,0)="ü",$S11,0)</f>
        <v>0</v>
      </c>
      <c r="AI11" s="145">
        <f>IF(OR($M11=0,$N11=2),0,IF(VLOOKUP($H11,'How the score is generated'!$B$4:$I$73,6,0)="ü",2,0))</f>
        <v>0</v>
      </c>
      <c r="AJ11" s="35">
        <f>IF(VLOOKUP($H11,'How the score is generated'!$B$4:$I$73,7,0)="ü",$Q11,0)</f>
        <v>0</v>
      </c>
      <c r="AK11" s="36">
        <f>IF(VLOOKUP($H11,'How the score is generated'!$B$4:$I$73,7,0)="ü",$S11,0)</f>
        <v>0</v>
      </c>
      <c r="AL11" s="145">
        <f>IF(OR($M11=0,$N11=2),0,IF(VLOOKUP($H11,'How the score is generated'!$B$4:$I$73,7,0)="ü",2,0))</f>
        <v>0</v>
      </c>
      <c r="AM11" s="35">
        <f>IF(VLOOKUP($H11,'How the score is generated'!$B$4:$I$73,8,0)="ü",$Q11,0)</f>
        <v>0</v>
      </c>
      <c r="AN11" s="36">
        <f>IF(VLOOKUP($H11,'How the score is generated'!$B$4:$I$73,8,0)="ü",$S11,0)</f>
        <v>0</v>
      </c>
      <c r="AO11" s="145">
        <f>IF(OR($M11=0,$N11=2),0,IF(VLOOKUP($H11,'How the score is generated'!$B$4:$I$73,8,0)="ü",2,0))</f>
        <v>0</v>
      </c>
      <c r="AP11" s="23"/>
      <c r="AQ11" s="404" t="s">
        <v>1142</v>
      </c>
      <c r="AR11" s="23"/>
      <c r="AS11" s="146"/>
      <c r="AW11" s="34"/>
      <c r="AX11" s="34" t="str">
        <f>IF(AW11="Amber",IF(S11=0,"Residual Amber",""),"")</f>
        <v/>
      </c>
      <c r="AY11" s="34" t="str">
        <f>IF(M11=0,"",IF(O11="","",O11))</f>
        <v/>
      </c>
      <c r="AZ11" s="34" t="str">
        <f>IF(M11=0,"",IF(P11="","",P11))</f>
        <v/>
      </c>
      <c r="BA11" s="34" t="str">
        <f>D11&amp;". "&amp;H11</f>
        <v>4. Number of opportunities to cross in each signal cycle</v>
      </c>
      <c r="BB11" s="35">
        <f>IF(VLOOKUP($H11,'How the score is generated (H)'!$B$4:$H$73,2,0)="ü",$Q11,0)</f>
        <v>0</v>
      </c>
      <c r="BC11" s="36">
        <f>IF(VLOOKUP($H11,'How the score is generated (H)'!$B$4:$H$73,2,0)="ü",$S11,0)</f>
        <v>0</v>
      </c>
      <c r="BD11" s="145">
        <f>IF(OR($M11=0,$N11=2),0,IF(VLOOKUP($H11,'How the score is generated (H)'!$B$4:$H$73,2,0)="ü",2,0))</f>
        <v>2</v>
      </c>
      <c r="BE11" s="35">
        <f>IF(VLOOKUP($H11,'How the score is generated (H)'!$B$4:$H$73,3,0)="ü",$Q11,0)</f>
        <v>0</v>
      </c>
      <c r="BF11" s="36">
        <f>IF(VLOOKUP($H11,'How the score is generated (H)'!$B$4:$H$73,3,0)="ü",$S11,0)</f>
        <v>0</v>
      </c>
      <c r="BG11" s="145">
        <f>IF(OR($M11=0,$N11=2),0,IF(VLOOKUP($H11,'How the score is generated (H)'!$B$4:$H$73,3,0)="ü",2,0))</f>
        <v>2</v>
      </c>
      <c r="BH11" s="35">
        <f>IF(VLOOKUP($H11,'How the score is generated (H)'!$B$4:$H$73,4,0)="ü",$Q11,0)</f>
        <v>0</v>
      </c>
      <c r="BI11" s="36">
        <f>IF(VLOOKUP($H11,'How the score is generated (H)'!$B$4:$H$73,4,0)="ü",$S11,0)</f>
        <v>0</v>
      </c>
      <c r="BJ11" s="145">
        <f>IF(OR($M11=0,$N11=2),0,IF(VLOOKUP($H11,'How the score is generated (H)'!$B$4:$H$73,4,0)="ü",2,0))</f>
        <v>2</v>
      </c>
      <c r="BK11" s="35">
        <f>IF(VLOOKUP($H11,'How the score is generated (H)'!$B$4:$H$73,5,0)="ü",$Q11,0)</f>
        <v>0</v>
      </c>
      <c r="BL11" s="36">
        <f>IF(VLOOKUP($H11,'How the score is generated (H)'!$B$4:$H$73,5,0)="ü",$S11,0)</f>
        <v>0</v>
      </c>
      <c r="BM11" s="145">
        <f>IF(OR($M11=0,$N11=2),0,IF(VLOOKUP($H11,'How the score is generated (H)'!$B$4:$H$73,5,0)="ü",2,0))</f>
        <v>0</v>
      </c>
      <c r="BN11" s="35">
        <f>IF(VLOOKUP($H11,'How the score is generated (H)'!$B$4:$H$73,6,0)="ü",$Q11,0)</f>
        <v>0</v>
      </c>
      <c r="BO11" s="36">
        <f>IF(VLOOKUP($H11,'How the score is generated (H)'!$B$4:$H$73,6,0)="ü",$S11,0)</f>
        <v>0</v>
      </c>
      <c r="BP11" s="145">
        <f>IF(OR($M11=0,$N11=2),0,IF(VLOOKUP($H11,'How the score is generated (H)'!$B$4:$H$73,6,0)="ü",2,0))</f>
        <v>2</v>
      </c>
      <c r="BQ11" s="35">
        <f>IF(VLOOKUP($H11,'How the score is generated (H)'!$B$4:$H$73,7,0)="ü",$Q11,0)</f>
        <v>0</v>
      </c>
      <c r="BR11" s="36">
        <f>IF(VLOOKUP($H11,'How the score is generated (H)'!$B$4:$H$73,7,0)="ü",$S11,0)</f>
        <v>0</v>
      </c>
      <c r="BS11" s="145">
        <f>IF(OR($M11=0,$N11=2),0,IF(VLOOKUP($H11,'How the score is generated (H)'!$B$4:$H$73,7,0)="ü",2,0))</f>
        <v>0</v>
      </c>
      <c r="BT11" s="23"/>
      <c r="BU11" s="35">
        <f>IF(VLOOKUP($H11,'How the score is generated (P)'!$B$4:$I$73,2,0)="ü",$Q11,0)</f>
        <v>0</v>
      </c>
      <c r="BV11" s="36">
        <f>IF(VLOOKUP($H11,'How the score is generated (P)'!$B$4:$I$73,2,0)="ü",$S11,0)</f>
        <v>0</v>
      </c>
      <c r="BW11" s="145">
        <f>IF(OR($M11=0,$N11=2),0,IF(VLOOKUP($H11,'How the score is generated (P)'!$B$4:$I$73,2,0)="ü",2,0))</f>
        <v>0</v>
      </c>
      <c r="BX11" s="35">
        <f>IF(VLOOKUP($H11,'How the score is generated (P)'!$B$4:$I$73,3,0)="ü",$Q11,0)</f>
        <v>0</v>
      </c>
      <c r="BY11" s="36">
        <f>IF(VLOOKUP($H11,'How the score is generated (P)'!$B$4:$I$73,3,0)="ü",$S11,0)</f>
        <v>0</v>
      </c>
      <c r="BZ11" s="145">
        <f>IF(OR($M11=0,$N11=2),0,IF(VLOOKUP($H11,'How the score is generated (P)'!$B$4:$I$73,3,0)="ü",2,0))</f>
        <v>0</v>
      </c>
      <c r="CA11" s="35">
        <f>IF(VLOOKUP($H11,'How the score is generated (P)'!$B$4:$I$73,4,0)="ü",$Q11,0)</f>
        <v>0</v>
      </c>
      <c r="CB11" s="36">
        <f>IF(VLOOKUP($H11,'How the score is generated (P)'!$B$4:$I$73,4,0)="ü",$S11,0)</f>
        <v>0</v>
      </c>
      <c r="CC11" s="145">
        <f>IF(OR($M11=0,$N11=2),0,IF(VLOOKUP($H11,'How the score is generated (P)'!$B$4:$I$73,4,0)="ü",2,0))</f>
        <v>0</v>
      </c>
      <c r="CD11" s="35">
        <f>IF(VLOOKUP($H11,'How the score is generated (P)'!$B$4:$I$73,5,0)="ü",$Q11,0)</f>
        <v>0</v>
      </c>
      <c r="CE11" s="36">
        <f>IF(VLOOKUP($H11,'How the score is generated (P)'!$B$4:$I$73,5,0)="ü",$S11,0)</f>
        <v>0</v>
      </c>
      <c r="CF11" s="145">
        <f>IF(OR($M11=0,$N11=2),0,IF(VLOOKUP($H11,'How the score is generated (P)'!$B$4:$I$73,5,0)="ü",2,0))</f>
        <v>0</v>
      </c>
      <c r="CG11" s="35">
        <f>IF(VLOOKUP($H11,'How the score is generated (P)'!$B$4:$I$73,6,0)="ü",$Q11,0)</f>
        <v>0</v>
      </c>
      <c r="CH11" s="36">
        <f>IF(VLOOKUP($H11,'How the score is generated (P)'!$B$4:$I$73,6,0)="ü",$S11,0)</f>
        <v>0</v>
      </c>
      <c r="CI11" s="145">
        <f>IF(OR($M11=0,$N11=2),0,IF(VLOOKUP($H11,'How the score is generated (P)'!$B$4:$I$73,6,0)="ü",2,0))</f>
        <v>0</v>
      </c>
      <c r="CJ11" s="35">
        <f>IF(VLOOKUP($H11,'How the score is generated (P)'!$B$4:$I$73,7,0)="ü",$Q11,0)</f>
        <v>0</v>
      </c>
      <c r="CK11" s="36">
        <f>IF(VLOOKUP($H11,'How the score is generated (P)'!$B$4:$I$73,7,0)="ü",$S11,0)</f>
        <v>0</v>
      </c>
      <c r="CL11" s="145">
        <f>IF(OR($M11=0,$N11=2),0,IF(VLOOKUP($H11,'How the score is generated (P)'!$B$4:$I$73,7,0)="ü",2,0))</f>
        <v>0</v>
      </c>
      <c r="CM11" s="35">
        <f>IF(VLOOKUP($H11,'How the score is generated (P)'!$B$4:$I$73,8,0)="ü",$Q11,0)</f>
        <v>0</v>
      </c>
      <c r="CN11" s="36">
        <f>IF(VLOOKUP($H11,'How the score is generated (P)'!$B$4:$I$73,8,0)="ü",$S11,0)</f>
        <v>0</v>
      </c>
      <c r="CO11" s="145">
        <f>IF(OR($M11=0,$N11=2),0,IF(VLOOKUP($H11,'How the score is generated (P)'!$B$4:$I$73,8,0)="ü",2,0))</f>
        <v>0</v>
      </c>
      <c r="CP11" s="300" t="s">
        <v>1102</v>
      </c>
    </row>
    <row r="12" spans="1:94" ht="83.5" customHeight="1" thickBot="1" x14ac:dyDescent="0.4">
      <c r="A12" s="23"/>
      <c r="B12" s="31"/>
      <c r="C12" s="43" t="str">
        <f>Validation!$S$2</f>
        <v xml:space="preserve">Group 1. Junctions </v>
      </c>
      <c r="D12" s="165">
        <v>5</v>
      </c>
      <c r="E12" s="46" t="s">
        <v>39</v>
      </c>
      <c r="F12" s="169" t="s">
        <v>20</v>
      </c>
      <c r="G12" s="177" t="s">
        <v>1143</v>
      </c>
      <c r="H12" s="178" t="s">
        <v>50</v>
      </c>
      <c r="I12" s="438" t="s">
        <v>896</v>
      </c>
      <c r="J12" s="178" t="s">
        <v>962</v>
      </c>
      <c r="K12" s="178" t="s">
        <v>963</v>
      </c>
      <c r="L12" s="180" t="s">
        <v>1144</v>
      </c>
      <c r="M12" s="170">
        <f>IF(Project!$B$27="Off-Street",0,1)</f>
        <v>1</v>
      </c>
      <c r="N12" s="425">
        <f>IF(AND(O12="N/A",P12="N/A"),2,0)</f>
        <v>0</v>
      </c>
      <c r="O12" s="237"/>
      <c r="P12" s="144"/>
      <c r="Q12" s="441">
        <f>IF(OR($M12=0,$O12="N/A"),"NA",VLOOKUP($O12,Validation!$D$2:$E$7,2,0))</f>
        <v>0</v>
      </c>
      <c r="R12" s="129">
        <f>IF(OR($M12=0,$O12="N/A"),0,2)</f>
        <v>2</v>
      </c>
      <c r="S12" s="441">
        <f>IF(OR($M12=0,$P12="N/A"),"NA",VLOOKUP($P12,Validation!$D$2:$E$7,2,0))</f>
        <v>0</v>
      </c>
      <c r="T12" s="34">
        <f>IF(OR($M12=0,$P12="N/A"),0,2)</f>
        <v>2</v>
      </c>
      <c r="U12" s="35">
        <f>IF(VLOOKUP($H12,'How the score is generated'!$B$4:$I$73,2,0)="ü",$Q12,0)</f>
        <v>0</v>
      </c>
      <c r="V12" s="36">
        <f>IF(VLOOKUP($H12,'How the score is generated'!$B$4:$I$73,2,0)="ü",$S12,0)</f>
        <v>0</v>
      </c>
      <c r="W12" s="145">
        <f>IF(OR($M12=0,$N12=2),0,IF(VLOOKUP($H12,'How the score is generated'!$B$4:$I$73,2,0)="ü",2,0))</f>
        <v>0</v>
      </c>
      <c r="X12" s="35">
        <f>IF(VLOOKUP($H12,'How the score is generated'!$B$4:$I$73,3,0)="ü",$Q12,0)</f>
        <v>0</v>
      </c>
      <c r="Y12" s="36">
        <f>IF(VLOOKUP($H12,'How the score is generated'!$B$4:$I$73,3,0)="ü",$S12,0)</f>
        <v>0</v>
      </c>
      <c r="Z12" s="145">
        <f>IF(OR($M12=0,$N12=2),0,IF(VLOOKUP($H12,'How the score is generated'!$B$4:$I$73,3,0)="ü",2,0))</f>
        <v>2</v>
      </c>
      <c r="AA12" s="35">
        <f>IF(VLOOKUP($H12,'How the score is generated'!$B$4:$I$73,4,0)="ü",$Q12,0)</f>
        <v>0</v>
      </c>
      <c r="AB12" s="36">
        <f>IF(VLOOKUP($H12,'How the score is generated'!$B$4:$I$73,4,0)="ü",$S12,0)</f>
        <v>0</v>
      </c>
      <c r="AC12" s="145">
        <f>IF(OR($M12=0,$N12=2),0,IF(VLOOKUP($H12,'How the score is generated'!$B$4:$I$73,4,0)="ü",2,0))</f>
        <v>2</v>
      </c>
      <c r="AD12" s="35">
        <f>IF(VLOOKUP($H12,'How the score is generated'!$B$4:$I$73,5,0)="ü",$Q12,0)</f>
        <v>0</v>
      </c>
      <c r="AE12" s="36">
        <f>IF(VLOOKUP($H12,'How the score is generated'!$B$4:$I$73,5,0)="ü",$S12,0)</f>
        <v>0</v>
      </c>
      <c r="AF12" s="145">
        <f>IF(OR($M12=0,$N12=2),0,IF(VLOOKUP($H12,'How the score is generated'!$B$4:$I$73,5,0)="ü",2,0))</f>
        <v>2</v>
      </c>
      <c r="AG12" s="35">
        <f>IF(VLOOKUP($H12,'How the score is generated'!$B$4:$I$73,6,0)="ü",$Q12,0)</f>
        <v>0</v>
      </c>
      <c r="AH12" s="36">
        <f>IF(VLOOKUP($H12,'How the score is generated'!$B$4:$I$73,6,0)="ü",$S12,0)</f>
        <v>0</v>
      </c>
      <c r="AI12" s="145">
        <f>IF(OR($M12=0,$N12=2),0,IF(VLOOKUP($H12,'How the score is generated'!$B$4:$I$73,6,0)="ü",2,0))</f>
        <v>0</v>
      </c>
      <c r="AJ12" s="35">
        <f>IF(VLOOKUP($H12,'How the score is generated'!$B$4:$I$73,7,0)="ü",$Q12,0)</f>
        <v>0</v>
      </c>
      <c r="AK12" s="36">
        <f>IF(VLOOKUP($H12,'How the score is generated'!$B$4:$I$73,7,0)="ü",$S12,0)</f>
        <v>0</v>
      </c>
      <c r="AL12" s="145">
        <f>IF(OR($M12=0,$N12=2),0,IF(VLOOKUP($H12,'How the score is generated'!$B$4:$I$73,7,0)="ü",2,0))</f>
        <v>0</v>
      </c>
      <c r="AM12" s="35">
        <f>IF(VLOOKUP($H12,'How the score is generated'!$B$4:$I$73,8,0)="ü",$Q12,0)</f>
        <v>0</v>
      </c>
      <c r="AN12" s="36">
        <f>IF(VLOOKUP($H12,'How the score is generated'!$B$4:$I$73,8,0)="ü",$S12,0)</f>
        <v>0</v>
      </c>
      <c r="AO12" s="145">
        <f>IF(OR($M12=0,$N12=2),0,IF(VLOOKUP($H12,'How the score is generated'!$B$4:$I$73,8,0)="ü",2,0))</f>
        <v>2</v>
      </c>
      <c r="AP12" s="23"/>
      <c r="AQ12" s="404"/>
      <c r="AR12" s="23"/>
      <c r="AS12" s="146"/>
      <c r="AW12" s="34"/>
      <c r="AX12" s="34" t="str">
        <f>IF(AW12="Amber",IF(S12=0,"Residual Amber",""),"")</f>
        <v/>
      </c>
      <c r="AY12" s="34" t="str">
        <f>IF(M12=0,"",IF(O12="","",O12))</f>
        <v/>
      </c>
      <c r="AZ12" s="34" t="str">
        <f>IF(M12=0,"",IF(P12="","",P12))</f>
        <v/>
      </c>
      <c r="BA12" s="34" t="str">
        <f>D12&amp;". "&amp;H12</f>
        <v xml:space="preserve">5. Technology to optimise efficiency of movement (pedestrians, cyclists, buses and general motor traffic) </v>
      </c>
      <c r="BB12" s="35">
        <f>IF(VLOOKUP($H12,'How the score is generated (H)'!$B$4:$H$73,2,0)="ü",$Q12,0)</f>
        <v>0</v>
      </c>
      <c r="BC12" s="36">
        <f>IF(VLOOKUP($H12,'How the score is generated (H)'!$B$4:$H$73,2,0)="ü",$S12,0)</f>
        <v>0</v>
      </c>
      <c r="BD12" s="145">
        <f>IF(OR($M12=0,$N12=2),0,IF(VLOOKUP($H12,'How the score is generated (H)'!$B$4:$H$73,2,0)="ü",2,0))</f>
        <v>2</v>
      </c>
      <c r="BE12" s="35">
        <f>IF(VLOOKUP($H12,'How the score is generated (H)'!$B$4:$H$73,3,0)="ü",$Q12,0)</f>
        <v>0</v>
      </c>
      <c r="BF12" s="36">
        <f>IF(VLOOKUP($H12,'How the score is generated (H)'!$B$4:$H$73,3,0)="ü",$S12,0)</f>
        <v>0</v>
      </c>
      <c r="BG12" s="145">
        <f>IF(OR($M12=0,$N12=2),0,IF(VLOOKUP($H12,'How the score is generated (H)'!$B$4:$H$73,3,0)="ü",2,0))</f>
        <v>2</v>
      </c>
      <c r="BH12" s="35">
        <f>IF(VLOOKUP($H12,'How the score is generated (H)'!$B$4:$H$73,4,0)="ü",$Q12,0)</f>
        <v>0</v>
      </c>
      <c r="BI12" s="36">
        <f>IF(VLOOKUP($H12,'How the score is generated (H)'!$B$4:$H$73,4,0)="ü",$S12,0)</f>
        <v>0</v>
      </c>
      <c r="BJ12" s="145">
        <f>IF(OR($M12=0,$N12=2),0,IF(VLOOKUP($H12,'How the score is generated (H)'!$B$4:$H$73,4,0)="ü",2,0))</f>
        <v>2</v>
      </c>
      <c r="BK12" s="35">
        <f>IF(VLOOKUP($H12,'How the score is generated (H)'!$B$4:$H$73,5,0)="ü",$Q12,0)</f>
        <v>0</v>
      </c>
      <c r="BL12" s="36">
        <f>IF(VLOOKUP($H12,'How the score is generated (H)'!$B$4:$H$73,5,0)="ü",$S12,0)</f>
        <v>0</v>
      </c>
      <c r="BM12" s="145">
        <f>IF(OR($M12=0,$N12=2),0,IF(VLOOKUP($H12,'How the score is generated (H)'!$B$4:$H$73,5,0)="ü",2,0))</f>
        <v>0</v>
      </c>
      <c r="BN12" s="35">
        <f>IF(VLOOKUP($H12,'How the score is generated (H)'!$B$4:$H$73,6,0)="ü",$Q12,0)</f>
        <v>0</v>
      </c>
      <c r="BO12" s="36">
        <f>IF(VLOOKUP($H12,'How the score is generated (H)'!$B$4:$H$73,6,0)="ü",$S12,0)</f>
        <v>0</v>
      </c>
      <c r="BP12" s="145">
        <f>IF(OR($M12=0,$N12=2),0,IF(VLOOKUP($H12,'How the score is generated (H)'!$B$4:$H$73,6,0)="ü",2,0))</f>
        <v>0</v>
      </c>
      <c r="BQ12" s="35">
        <f>IF(VLOOKUP($H12,'How the score is generated (H)'!$B$4:$H$73,7,0)="ü",$Q12,0)</f>
        <v>0</v>
      </c>
      <c r="BR12" s="36">
        <f>IF(VLOOKUP($H12,'How the score is generated (H)'!$B$4:$H$73,7,0)="ü",$S12,0)</f>
        <v>0</v>
      </c>
      <c r="BS12" s="145">
        <f>IF(OR($M12=0,$N12=2),0,IF(VLOOKUP($H12,'How the score is generated (H)'!$B$4:$H$73,7,0)="ü",2,0))</f>
        <v>0</v>
      </c>
      <c r="BT12" s="23"/>
      <c r="BU12" s="35">
        <f>IF(VLOOKUP($H12,'How the score is generated (P)'!$B$4:$I$73,2,0)="ü",$Q12,0)</f>
        <v>0</v>
      </c>
      <c r="BV12" s="36">
        <f>IF(VLOOKUP($H12,'How the score is generated (P)'!$B$4:$I$73,2,0)="ü",$S12,0)</f>
        <v>0</v>
      </c>
      <c r="BW12" s="145">
        <f>IF(OR($M12=0,$N12=2),0,IF(VLOOKUP($H12,'How the score is generated (P)'!$B$4:$I$73,2,0)="ü",2,0))</f>
        <v>0</v>
      </c>
      <c r="BX12" s="35">
        <f>IF(VLOOKUP($H12,'How the score is generated (P)'!$B$4:$I$73,3,0)="ü",$Q12,0)</f>
        <v>0</v>
      </c>
      <c r="BY12" s="36">
        <f>IF(VLOOKUP($H12,'How the score is generated (P)'!$B$4:$I$73,3,0)="ü",$S12,0)</f>
        <v>0</v>
      </c>
      <c r="BZ12" s="145">
        <f>IF(OR($M12=0,$N12=2),0,IF(VLOOKUP($H12,'How the score is generated (P)'!$B$4:$I$73,3,0)="ü",2,0))</f>
        <v>0</v>
      </c>
      <c r="CA12" s="35">
        <f>IF(VLOOKUP($H12,'How the score is generated (P)'!$B$4:$I$73,4,0)="ü",$Q12,0)</f>
        <v>0</v>
      </c>
      <c r="CB12" s="36">
        <f>IF(VLOOKUP($H12,'How the score is generated (P)'!$B$4:$I$73,4,0)="ü",$S12,0)</f>
        <v>0</v>
      </c>
      <c r="CC12" s="145">
        <f>IF(OR($M12=0,$N12=2),0,IF(VLOOKUP($H12,'How the score is generated (P)'!$B$4:$I$73,4,0)="ü",2,0))</f>
        <v>2</v>
      </c>
      <c r="CD12" s="35">
        <f>IF(VLOOKUP($H12,'How the score is generated (P)'!$B$4:$I$73,5,0)="ü",$Q12,0)</f>
        <v>0</v>
      </c>
      <c r="CE12" s="36">
        <f>IF(VLOOKUP($H12,'How the score is generated (P)'!$B$4:$I$73,5,0)="ü",$S12,0)</f>
        <v>0</v>
      </c>
      <c r="CF12" s="145">
        <f>IF(OR($M12=0,$N12=2),0,IF(VLOOKUP($H12,'How the score is generated (P)'!$B$4:$I$73,5,0)="ü",2,0))</f>
        <v>0</v>
      </c>
      <c r="CG12" s="35">
        <f>IF(VLOOKUP($H12,'How the score is generated (P)'!$B$4:$I$73,6,0)="ü",$Q12,0)</f>
        <v>0</v>
      </c>
      <c r="CH12" s="36">
        <f>IF(VLOOKUP($H12,'How the score is generated (P)'!$B$4:$I$73,6,0)="ü",$S12,0)</f>
        <v>0</v>
      </c>
      <c r="CI12" s="145">
        <f>IF(OR($M12=0,$N12=2),0,IF(VLOOKUP($H12,'How the score is generated (P)'!$B$4:$I$73,6,0)="ü",2,0))</f>
        <v>0</v>
      </c>
      <c r="CJ12" s="35">
        <f>IF(VLOOKUP($H12,'How the score is generated (P)'!$B$4:$I$73,7,0)="ü",$Q12,0)</f>
        <v>0</v>
      </c>
      <c r="CK12" s="36">
        <f>IF(VLOOKUP($H12,'How the score is generated (P)'!$B$4:$I$73,7,0)="ü",$S12,0)</f>
        <v>0</v>
      </c>
      <c r="CL12" s="145">
        <f>IF(OR($M12=0,$N12=2),0,IF(VLOOKUP($H12,'How the score is generated (P)'!$B$4:$I$73,7,0)="ü",2,0))</f>
        <v>0</v>
      </c>
      <c r="CM12" s="35">
        <f>IF(VLOOKUP($H12,'How the score is generated (P)'!$B$4:$I$73,8,0)="ü",$Q12,0)</f>
        <v>0</v>
      </c>
      <c r="CN12" s="36">
        <f>IF(VLOOKUP($H12,'How the score is generated (P)'!$B$4:$I$73,8,0)="ü",$S12,0)</f>
        <v>0</v>
      </c>
      <c r="CO12" s="145">
        <f>IF(OR($M12=0,$N12=2),0,IF(VLOOKUP($H12,'How the score is generated (P)'!$B$4:$I$73,8,0)="ü",2,0))</f>
        <v>0</v>
      </c>
      <c r="CP12" s="300"/>
    </row>
    <row r="13" spans="1:94" ht="15" hidden="1" customHeight="1" thickBot="1" x14ac:dyDescent="0.4">
      <c r="A13" s="23"/>
      <c r="B13" s="31"/>
      <c r="C13" s="47"/>
      <c r="D13" s="47"/>
      <c r="E13" s="47"/>
      <c r="F13" s="47"/>
      <c r="G13" s="171" t="s">
        <v>938</v>
      </c>
      <c r="H13" s="172"/>
      <c r="I13" s="172"/>
      <c r="J13" s="172"/>
      <c r="K13" s="172"/>
      <c r="L13" s="172"/>
      <c r="M13" s="48"/>
      <c r="N13" s="48"/>
      <c r="O13" s="49" t="str">
        <f>Q13&amp;"/"&amp;R13</f>
        <v>0/10</v>
      </c>
      <c r="P13" s="50" t="str">
        <f>S13&amp;"/"&amp;T13</f>
        <v>0/10</v>
      </c>
      <c r="Q13" s="51">
        <f>SUM(Q8:Q12)</f>
        <v>0</v>
      </c>
      <c r="R13" s="51">
        <f>SUM(R8:R12)</f>
        <v>10</v>
      </c>
      <c r="S13" s="51">
        <f>SUM(S8:S12)</f>
        <v>0</v>
      </c>
      <c r="T13" s="51">
        <f>SUM(T8:T12)</f>
        <v>10</v>
      </c>
      <c r="U13" s="31"/>
      <c r="V13" s="31"/>
      <c r="W13" s="31"/>
      <c r="X13" s="31"/>
      <c r="Y13" s="31"/>
      <c r="Z13" s="31"/>
      <c r="AA13" s="31"/>
      <c r="AB13" s="31"/>
      <c r="AC13" s="31"/>
      <c r="AD13" s="31"/>
      <c r="AE13" s="31"/>
      <c r="AF13" s="31"/>
      <c r="AG13" s="31"/>
      <c r="AH13" s="31"/>
      <c r="AI13" s="31"/>
      <c r="AJ13" s="31"/>
      <c r="AK13" s="31"/>
      <c r="AL13" s="31"/>
      <c r="AM13" s="31"/>
      <c r="AN13" s="31"/>
      <c r="AO13" s="31"/>
      <c r="AP13" s="23"/>
      <c r="AQ13" s="76"/>
      <c r="AR13" s="23"/>
      <c r="AS13" s="321"/>
      <c r="AW13" s="51"/>
      <c r="AX13" s="51"/>
      <c r="AY13" s="51"/>
      <c r="AZ13" s="51"/>
      <c r="BA13" s="5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row>
    <row r="14" spans="1:94" ht="15" thickBot="1" x14ac:dyDescent="0.4">
      <c r="A14" s="23"/>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23"/>
      <c r="AQ14" s="76"/>
      <c r="AR14" s="23"/>
      <c r="AS14" s="32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row>
    <row r="15" spans="1:94" ht="26" customHeight="1" thickBot="1" x14ac:dyDescent="0.4">
      <c r="A15" s="23"/>
      <c r="B15" s="31"/>
      <c r="C15" s="52"/>
      <c r="D15" s="53"/>
      <c r="E15" s="53"/>
      <c r="F15" s="53"/>
      <c r="G15" s="522" t="s">
        <v>1283</v>
      </c>
      <c r="H15" s="522"/>
      <c r="I15" s="522"/>
      <c r="J15" s="522"/>
      <c r="K15" s="522"/>
      <c r="L15" s="522"/>
      <c r="M15" s="28"/>
      <c r="N15" s="28"/>
      <c r="O15" s="29" t="s">
        <v>32</v>
      </c>
      <c r="P15" s="224" t="s">
        <v>33</v>
      </c>
      <c r="Q15" s="30"/>
      <c r="R15" s="30"/>
      <c r="S15" s="30"/>
      <c r="T15" s="30"/>
      <c r="U15" s="54"/>
      <c r="V15" s="54"/>
      <c r="W15" s="54"/>
      <c r="X15" s="54"/>
      <c r="Y15" s="54"/>
      <c r="Z15" s="54"/>
      <c r="AA15" s="54"/>
      <c r="AB15" s="54"/>
      <c r="AC15" s="54"/>
      <c r="AD15" s="54"/>
      <c r="AE15" s="54"/>
      <c r="AF15" s="54"/>
      <c r="AG15" s="54"/>
      <c r="AH15" s="54"/>
      <c r="AI15" s="54"/>
      <c r="AJ15" s="54"/>
      <c r="AK15" s="54"/>
      <c r="AL15" s="54"/>
      <c r="AM15" s="54"/>
      <c r="AN15" s="54"/>
      <c r="AO15" s="54"/>
      <c r="AP15" s="23"/>
      <c r="AQ15" s="76"/>
      <c r="AR15" s="23"/>
      <c r="AS15" s="321"/>
      <c r="AW15" s="30"/>
      <c r="AX15" s="30"/>
      <c r="AY15" s="30"/>
      <c r="AZ15" s="30"/>
      <c r="BA15" s="30"/>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row>
    <row r="16" spans="1:94" ht="120.5" customHeight="1" thickBot="1" x14ac:dyDescent="0.4">
      <c r="A16" s="23"/>
      <c r="B16" s="31"/>
      <c r="C16" s="43" t="str">
        <f>Validation!$S$3</f>
        <v xml:space="preserve">Group 2. Pedestrian crossings (junction and mid-link) </v>
      </c>
      <c r="D16" s="163">
        <f>D12+1</f>
        <v>6</v>
      </c>
      <c r="E16" s="33" t="s">
        <v>39</v>
      </c>
      <c r="F16" s="204" t="s">
        <v>43</v>
      </c>
      <c r="G16" s="173" t="s">
        <v>1057</v>
      </c>
      <c r="H16" s="174" t="s">
        <v>1272</v>
      </c>
      <c r="I16" s="175" t="s">
        <v>1268</v>
      </c>
      <c r="J16" s="174" t="s">
        <v>1269</v>
      </c>
      <c r="K16" s="174" t="s">
        <v>1267</v>
      </c>
      <c r="L16" s="176" t="s">
        <v>1271</v>
      </c>
      <c r="M16" s="170">
        <f>IF(Project!$B$27="Off-Street",0,1)</f>
        <v>1</v>
      </c>
      <c r="N16" s="425">
        <f t="shared" ref="N16:N21" si="0">IF(AND(O16="N/A",P16="N/A"),2,0)</f>
        <v>0</v>
      </c>
      <c r="O16" s="237"/>
      <c r="P16" s="238"/>
      <c r="Q16" s="441">
        <f>IF(OR($M16=0,$O16="N/A"),"NA",VLOOKUP($O16,Validation!$D$2:$E$7,2,0))</f>
        <v>0</v>
      </c>
      <c r="R16" s="129">
        <f t="shared" ref="R16:R21" si="1">IF(OR($M16=0,$O16="N/A"),0,2)</f>
        <v>2</v>
      </c>
      <c r="S16" s="441">
        <f>IF(OR($M16=0,$P16="N/A"),"NA",VLOOKUP($P16,Validation!$D$2:$E$7,2,0))</f>
        <v>0</v>
      </c>
      <c r="T16" s="34">
        <f t="shared" ref="T16:T21" si="2">IF(OR($M16=0,$P16="N/A"),0,2)</f>
        <v>2</v>
      </c>
      <c r="U16" s="35">
        <f>IF(VLOOKUP($H16,'How the score is generated'!$B$4:$I$73,2,0)="ü",$Q16,0)</f>
        <v>0</v>
      </c>
      <c r="V16" s="36">
        <f>IF(VLOOKUP($H16,'How the score is generated'!$B$4:$I$73,2,0)="ü",$S16,0)</f>
        <v>0</v>
      </c>
      <c r="W16" s="145">
        <f>IF(OR($M16=0,$N16=2),0,IF(VLOOKUP($H16,'How the score is generated'!$B$4:$I$73,2,0)="ü",2,0))</f>
        <v>0</v>
      </c>
      <c r="X16" s="35">
        <f>IF(VLOOKUP($H16,'How the score is generated'!$B$4:$I$73,3,0)="ü",$Q16,0)</f>
        <v>0</v>
      </c>
      <c r="Y16" s="36">
        <f>IF(VLOOKUP($H16,'How the score is generated'!$B$4:$I$73,3,0)="ü",$S16,0)</f>
        <v>0</v>
      </c>
      <c r="Z16" s="145">
        <f>IF(OR($M16=0,$N16=2),0,IF(VLOOKUP($H16,'How the score is generated'!$B$4:$I$73,3,0)="ü",2,0))</f>
        <v>2</v>
      </c>
      <c r="AA16" s="35">
        <f>IF(VLOOKUP($H16,'How the score is generated'!$B$4:$I$73,4,0)="ü",$Q16,0)</f>
        <v>0</v>
      </c>
      <c r="AB16" s="36">
        <f>IF(VLOOKUP($H16,'How the score is generated'!$B$4:$I$73,4,0)="ü",$S16,0)</f>
        <v>0</v>
      </c>
      <c r="AC16" s="145">
        <f>IF(OR($M16=0,$N16=2),0,IF(VLOOKUP($H16,'How the score is generated'!$B$4:$I$73,4,0)="ü",2,0))</f>
        <v>0</v>
      </c>
      <c r="AD16" s="35">
        <f>IF(VLOOKUP($H16,'How the score is generated'!$B$4:$I$73,5,0)="ü",$Q16,0)</f>
        <v>0</v>
      </c>
      <c r="AE16" s="36">
        <f>IF(VLOOKUP($H16,'How the score is generated'!$B$4:$I$73,5,0)="ü",$S16,0)</f>
        <v>0</v>
      </c>
      <c r="AF16" s="145">
        <f>IF(OR($M16=0,$N16=2),0,IF(VLOOKUP($H16,'How the score is generated'!$B$4:$I$73,5,0)="ü",2,0))</f>
        <v>0</v>
      </c>
      <c r="AG16" s="35">
        <f>IF(VLOOKUP($H16,'How the score is generated'!$B$4:$I$73,6,0)="ü",$Q16,0)</f>
        <v>0</v>
      </c>
      <c r="AH16" s="36">
        <f>IF(VLOOKUP($H16,'How the score is generated'!$B$4:$I$73,6,0)="ü",$S16,0)</f>
        <v>0</v>
      </c>
      <c r="AI16" s="145">
        <f>IF(OR($M16=0,$N16=2),0,IF(VLOOKUP($H16,'How the score is generated'!$B$4:$I$73,6,0)="ü",2,0))</f>
        <v>0</v>
      </c>
      <c r="AJ16" s="35">
        <f>IF(VLOOKUP($H16,'How the score is generated'!$B$4:$I$73,7,0)="ü",$Q16,0)</f>
        <v>0</v>
      </c>
      <c r="AK16" s="36">
        <f>IF(VLOOKUP($H16,'How the score is generated'!$B$4:$I$73,7,0)="ü",$S16,0)</f>
        <v>0</v>
      </c>
      <c r="AL16" s="145">
        <f>IF(OR($M16=0,$N16=2),0,IF(VLOOKUP($H16,'How the score is generated'!$B$4:$I$73,7,0)="ü",2,0))</f>
        <v>0</v>
      </c>
      <c r="AM16" s="35">
        <f>IF(VLOOKUP($H16,'How the score is generated'!$B$4:$I$73,8,0)="ü",$Q16,0)</f>
        <v>0</v>
      </c>
      <c r="AN16" s="36">
        <f>IF(VLOOKUP($H16,'How the score is generated'!$B$4:$I$73,8,0)="ü",$S16,0)</f>
        <v>0</v>
      </c>
      <c r="AO16" s="145">
        <f>IF(OR($M16=0,$N16=2),0,IF(VLOOKUP($H16,'How the score is generated'!$B$4:$I$73,8,0)="ü",2,0))</f>
        <v>0</v>
      </c>
      <c r="AP16" s="23"/>
      <c r="AQ16" s="404" t="s">
        <v>1270</v>
      </c>
      <c r="AR16" s="23"/>
      <c r="AS16" s="146"/>
      <c r="AW16" s="34"/>
      <c r="AX16" s="34" t="str">
        <f t="shared" ref="AX16:AX21" si="3">IF(AW16="Amber",IF(S16=0,"Residual Amber",""),"")</f>
        <v/>
      </c>
      <c r="AY16" s="34" t="str">
        <f t="shared" ref="AY16:AY21" si="4">IF(M16=0,"",IF(O16="","",O16))</f>
        <v/>
      </c>
      <c r="AZ16" s="34" t="str">
        <f>IF(M16=0,"",IF(P16="","",P16))</f>
        <v/>
      </c>
      <c r="BA16" s="34" t="str">
        <f t="shared" ref="BA16:BA21" si="5">D16&amp;". "&amp;H16</f>
        <v>6. Distance between formal crossing points considering PCU's a day</v>
      </c>
      <c r="BB16" s="35">
        <f>IF(VLOOKUP($H16,'How the score is generated (H)'!$B$4:$H$73,2,0)="ü",$Q16,0)</f>
        <v>0</v>
      </c>
      <c r="BC16" s="36">
        <f>IF(VLOOKUP($H16,'How the score is generated (H)'!$B$4:$H$73,2,0)="ü",$S16,0)</f>
        <v>0</v>
      </c>
      <c r="BD16" s="145">
        <f>IF(OR($M16=0,$N16=2),0,IF(VLOOKUP($H16,'How the score is generated (H)'!$B$4:$H$73,2,0)="ü",2,0))</f>
        <v>2</v>
      </c>
      <c r="BE16" s="35">
        <f>IF(VLOOKUP($H16,'How the score is generated (H)'!$B$4:$H$73,3,0)="ü",$Q16,0)</f>
        <v>0</v>
      </c>
      <c r="BF16" s="36">
        <f>IF(VLOOKUP($H16,'How the score is generated (H)'!$B$4:$H$73,3,0)="ü",$S16,0)</f>
        <v>0</v>
      </c>
      <c r="BG16" s="145">
        <f>IF(OR($M16=0,$N16=2),0,IF(VLOOKUP($H16,'How the score is generated (H)'!$B$4:$H$73,3,0)="ü",2,0))</f>
        <v>2</v>
      </c>
      <c r="BH16" s="35">
        <f>IF(VLOOKUP($H16,'How the score is generated (H)'!$B$4:$H$73,4,0)="ü",$Q16,0)</f>
        <v>0</v>
      </c>
      <c r="BI16" s="36">
        <f>IF(VLOOKUP($H16,'How the score is generated (H)'!$B$4:$H$73,4,0)="ü",$S16,0)</f>
        <v>0</v>
      </c>
      <c r="BJ16" s="145">
        <f>IF(OR($M16=0,$N16=2),0,IF(VLOOKUP($H16,'How the score is generated (H)'!$B$4:$H$73,4,0)="ü",2,0))</f>
        <v>2</v>
      </c>
      <c r="BK16" s="35">
        <f>IF(VLOOKUP($H16,'How the score is generated (H)'!$B$4:$H$73,5,0)="ü",$Q16,0)</f>
        <v>0</v>
      </c>
      <c r="BL16" s="36">
        <f>IF(VLOOKUP($H16,'How the score is generated (H)'!$B$4:$H$73,5,0)="ü",$S16,0)</f>
        <v>0</v>
      </c>
      <c r="BM16" s="145">
        <f>IF(OR($M16=0,$N16=2),0,IF(VLOOKUP($H16,'How the score is generated (H)'!$B$4:$H$73,5,0)="ü",2,0))</f>
        <v>0</v>
      </c>
      <c r="BN16" s="35">
        <f>IF(VLOOKUP($H16,'How the score is generated (H)'!$B$4:$H$73,6,0)="ü",$Q16,0)</f>
        <v>0</v>
      </c>
      <c r="BO16" s="36">
        <f>IF(VLOOKUP($H16,'How the score is generated (H)'!$B$4:$H$73,6,0)="ü",$S16,0)</f>
        <v>0</v>
      </c>
      <c r="BP16" s="145">
        <f>IF(OR($M16=0,$N16=2),0,IF(VLOOKUP($H16,'How the score is generated (H)'!$B$4:$H$73,6,0)="ü",2,0))</f>
        <v>0</v>
      </c>
      <c r="BQ16" s="35">
        <f>IF(VLOOKUP($H16,'How the score is generated (H)'!$B$4:$H$73,7,0)="ü",$Q16,0)</f>
        <v>0</v>
      </c>
      <c r="BR16" s="36">
        <f>IF(VLOOKUP($H16,'How the score is generated (H)'!$B$4:$H$73,7,0)="ü",$S16,0)</f>
        <v>0</v>
      </c>
      <c r="BS16" s="145">
        <f>IF(OR($M16=0,$N16=2),0,IF(VLOOKUP($H16,'How the score is generated (H)'!$B$4:$H$73,7,0)="ü",2,0))</f>
        <v>0</v>
      </c>
      <c r="BT16" s="23"/>
      <c r="BU16" s="35">
        <f>IF(VLOOKUP($H16,'How the score is generated (P)'!$B$4:$I$73,2,0)="ü",$Q16,0)</f>
        <v>0</v>
      </c>
      <c r="BV16" s="36">
        <f>IF(VLOOKUP($H16,'How the score is generated (P)'!$B$4:$I$73,2,0)="ü",$S16,0)</f>
        <v>0</v>
      </c>
      <c r="BW16" s="145">
        <f>IF(OR($M16=0,$N16=2),0,IF(VLOOKUP($H16,'How the score is generated (P)'!$B$4:$I$73,2,0)="ü",2,0))</f>
        <v>2</v>
      </c>
      <c r="BX16" s="35">
        <f>IF(VLOOKUP($H16,'How the score is generated (P)'!$B$4:$I$73,3,0)="ü",$Q16,0)</f>
        <v>0</v>
      </c>
      <c r="BY16" s="36">
        <f>IF(VLOOKUP($H16,'How the score is generated (P)'!$B$4:$I$73,3,0)="ü",$S16,0)</f>
        <v>0</v>
      </c>
      <c r="BZ16" s="145">
        <f>IF(OR($M16=0,$N16=2),0,IF(VLOOKUP($H16,'How the score is generated (P)'!$B$4:$I$73,3,0)="ü",2,0))</f>
        <v>0</v>
      </c>
      <c r="CA16" s="35">
        <f>IF(VLOOKUP($H16,'How the score is generated (P)'!$B$4:$I$73,4,0)="ü",$Q16,0)</f>
        <v>0</v>
      </c>
      <c r="CB16" s="36">
        <f>IF(VLOOKUP($H16,'How the score is generated (P)'!$B$4:$I$73,4,0)="ü",$S16,0)</f>
        <v>0</v>
      </c>
      <c r="CC16" s="145">
        <f>IF(OR($M16=0,$N16=2),0,IF(VLOOKUP($H16,'How the score is generated (P)'!$B$4:$I$73,4,0)="ü",2,0))</f>
        <v>0</v>
      </c>
      <c r="CD16" s="35">
        <f>IF(VLOOKUP($H16,'How the score is generated (P)'!$B$4:$I$73,5,0)="ü",$Q16,0)</f>
        <v>0</v>
      </c>
      <c r="CE16" s="36">
        <f>IF(VLOOKUP($H16,'How the score is generated (P)'!$B$4:$I$73,5,0)="ü",$S16,0)</f>
        <v>0</v>
      </c>
      <c r="CF16" s="145">
        <f>IF(OR($M16=0,$N16=2),0,IF(VLOOKUP($H16,'How the score is generated (P)'!$B$4:$I$73,5,0)="ü",2,0))</f>
        <v>2</v>
      </c>
      <c r="CG16" s="35">
        <f>IF(VLOOKUP($H16,'How the score is generated (P)'!$B$4:$I$73,6,0)="ü",$Q16,0)</f>
        <v>0</v>
      </c>
      <c r="CH16" s="36">
        <f>IF(VLOOKUP($H16,'How the score is generated (P)'!$B$4:$I$73,6,0)="ü",$S16,0)</f>
        <v>0</v>
      </c>
      <c r="CI16" s="145">
        <f>IF(OR($M16=0,$N16=2),0,IF(VLOOKUP($H16,'How the score is generated (P)'!$B$4:$I$73,6,0)="ü",2,0))</f>
        <v>2</v>
      </c>
      <c r="CJ16" s="35">
        <f>IF(VLOOKUP($H16,'How the score is generated (P)'!$B$4:$I$73,7,0)="ü",$Q16,0)</f>
        <v>0</v>
      </c>
      <c r="CK16" s="36">
        <f>IF(VLOOKUP($H16,'How the score is generated (P)'!$B$4:$I$73,7,0)="ü",$S16,0)</f>
        <v>0</v>
      </c>
      <c r="CL16" s="145">
        <f>IF(OR($M16=0,$N16=2),0,IF(VLOOKUP($H16,'How the score is generated (P)'!$B$4:$I$73,7,0)="ü",2,0))</f>
        <v>2</v>
      </c>
      <c r="CM16" s="35">
        <f>IF(VLOOKUP($H16,'How the score is generated (P)'!$B$4:$I$73,8,0)="ü",$Q16,0)</f>
        <v>0</v>
      </c>
      <c r="CN16" s="36">
        <f>IF(VLOOKUP($H16,'How the score is generated (P)'!$B$4:$I$73,8,0)="ü",$S16,0)</f>
        <v>0</v>
      </c>
      <c r="CO16" s="145">
        <f>IF(OR($M16=0,$N16=2),0,IF(VLOOKUP($H16,'How the score is generated (P)'!$B$4:$I$73,8,0)="ü",2,0))</f>
        <v>2</v>
      </c>
      <c r="CP16" s="300" t="s">
        <v>1058</v>
      </c>
    </row>
    <row r="17" spans="1:94" ht="112" customHeight="1" thickBot="1" x14ac:dyDescent="0.4">
      <c r="A17" s="23"/>
      <c r="B17" s="31"/>
      <c r="C17" s="43" t="str">
        <f>Validation!$S$3</f>
        <v xml:space="preserve">Group 2. Pedestrian crossings (junction and mid-link) </v>
      </c>
      <c r="D17" s="164">
        <f>D16+1</f>
        <v>7</v>
      </c>
      <c r="E17" s="44" t="s">
        <v>39</v>
      </c>
      <c r="F17" s="38" t="s">
        <v>43</v>
      </c>
      <c r="G17" s="39" t="s">
        <v>969</v>
      </c>
      <c r="H17" s="41" t="s">
        <v>1062</v>
      </c>
      <c r="I17" s="40" t="s">
        <v>1280</v>
      </c>
      <c r="J17" s="41" t="s">
        <v>1033</v>
      </c>
      <c r="K17" s="41" t="s">
        <v>970</v>
      </c>
      <c r="L17" s="42" t="s">
        <v>1061</v>
      </c>
      <c r="M17" s="170">
        <f>IF(Project!$B$27="Off-Street",0,1)</f>
        <v>1</v>
      </c>
      <c r="N17" s="425">
        <f t="shared" si="0"/>
        <v>0</v>
      </c>
      <c r="O17" s="237"/>
      <c r="P17" s="391"/>
      <c r="Q17" s="441">
        <f>IF(OR($M17=0,$O17="N/A"),"NA",VLOOKUP($O17,Validation!$D$2:$E$7,2,0))</f>
        <v>0</v>
      </c>
      <c r="R17" s="129">
        <f t="shared" si="1"/>
        <v>2</v>
      </c>
      <c r="S17" s="441">
        <f>IF(OR($M17=0,$P17="N/A"),"NA",VLOOKUP($P17,Validation!$D$2:$E$7,2,0))</f>
        <v>0</v>
      </c>
      <c r="T17" s="34">
        <f t="shared" si="2"/>
        <v>2</v>
      </c>
      <c r="U17" s="35">
        <f>IF(VLOOKUP($H17,'How the score is generated'!$B$4:$I$73,2,0)="ü",$Q17,0)</f>
        <v>0</v>
      </c>
      <c r="V17" s="36">
        <f>IF(VLOOKUP($H17,'How the score is generated'!$B$4:$I$73,2,0)="ü",$S17,0)</f>
        <v>0</v>
      </c>
      <c r="W17" s="145">
        <f>IF(OR($M17=0,$N17=2),0,IF(VLOOKUP($H17,'How the score is generated'!$B$4:$I$73,2,0)="ü",2,0))</f>
        <v>0</v>
      </c>
      <c r="X17" s="35">
        <f>IF(VLOOKUP($H17,'How the score is generated'!$B$4:$I$73,3,0)="ü",$Q17,0)</f>
        <v>0</v>
      </c>
      <c r="Y17" s="36">
        <f>IF(VLOOKUP($H17,'How the score is generated'!$B$4:$I$73,3,0)="ü",$S17,0)</f>
        <v>0</v>
      </c>
      <c r="Z17" s="145">
        <f>IF(OR($M17=0,$N17=2),0,IF(VLOOKUP($H17,'How the score is generated'!$B$4:$I$73,3,0)="ü",2,0))</f>
        <v>2</v>
      </c>
      <c r="AA17" s="35">
        <f>IF(VLOOKUP($H17,'How the score is generated'!$B$4:$I$73,4,0)="ü",$Q17,0)</f>
        <v>0</v>
      </c>
      <c r="AB17" s="36">
        <f>IF(VLOOKUP($H17,'How the score is generated'!$B$4:$I$73,4,0)="ü",$S17,0)</f>
        <v>0</v>
      </c>
      <c r="AC17" s="145">
        <f>IF(OR($M17=0,$N17=2),0,IF(VLOOKUP($H17,'How the score is generated'!$B$4:$I$73,4,0)="ü",2,0))</f>
        <v>0</v>
      </c>
      <c r="AD17" s="35">
        <f>IF(VLOOKUP($H17,'How the score is generated'!$B$4:$I$73,5,0)="ü",$Q17,0)</f>
        <v>0</v>
      </c>
      <c r="AE17" s="36">
        <f>IF(VLOOKUP($H17,'How the score is generated'!$B$4:$I$73,5,0)="ü",$S17,0)</f>
        <v>0</v>
      </c>
      <c r="AF17" s="145">
        <f>IF(OR($M17=0,$N17=2),0,IF(VLOOKUP($H17,'How the score is generated'!$B$4:$I$73,5,0)="ü",2,0))</f>
        <v>0</v>
      </c>
      <c r="AG17" s="35">
        <f>IF(VLOOKUP($H17,'How the score is generated'!$B$4:$I$73,6,0)="ü",$Q17,0)</f>
        <v>0</v>
      </c>
      <c r="AH17" s="36">
        <f>IF(VLOOKUP($H17,'How the score is generated'!$B$4:$I$73,6,0)="ü",$S17,0)</f>
        <v>0</v>
      </c>
      <c r="AI17" s="145">
        <f>IF(OR($M17=0,$N17=2),0,IF(VLOOKUP($H17,'How the score is generated'!$B$4:$I$73,6,0)="ü",2,0))</f>
        <v>0</v>
      </c>
      <c r="AJ17" s="35">
        <f>IF(VLOOKUP($H17,'How the score is generated'!$B$4:$I$73,7,0)="ü",$Q17,0)</f>
        <v>0</v>
      </c>
      <c r="AK17" s="36">
        <f>IF(VLOOKUP($H17,'How the score is generated'!$B$4:$I$73,7,0)="ü",$S17,0)</f>
        <v>0</v>
      </c>
      <c r="AL17" s="145">
        <f>IF(OR($M17=0,$N17=2),0,IF(VLOOKUP($H17,'How the score is generated'!$B$4:$I$73,7,0)="ü",2,0))</f>
        <v>0</v>
      </c>
      <c r="AM17" s="35">
        <f>IF(VLOOKUP($H17,'How the score is generated'!$B$4:$I$73,8,0)="ü",$Q17,0)</f>
        <v>0</v>
      </c>
      <c r="AN17" s="36">
        <f>IF(VLOOKUP($H17,'How the score is generated'!$B$4:$I$73,8,0)="ü",$S17,0)</f>
        <v>0</v>
      </c>
      <c r="AO17" s="145">
        <f>IF(OR($M17=0,$N17=2),0,IF(VLOOKUP($H17,'How the score is generated'!$B$4:$I$73,8,0)="ü",2,0))</f>
        <v>2</v>
      </c>
      <c r="AP17" s="23"/>
      <c r="AQ17" s="407" t="s">
        <v>1281</v>
      </c>
      <c r="AR17" s="23"/>
      <c r="AS17" s="146"/>
      <c r="AW17" s="34"/>
      <c r="AX17" s="34" t="str">
        <f t="shared" si="3"/>
        <v/>
      </c>
      <c r="AY17" s="34" t="str">
        <f t="shared" si="4"/>
        <v/>
      </c>
      <c r="AZ17" s="34" t="str">
        <f>IF(M17=0,"",IF(P17="","",P17))</f>
        <v/>
      </c>
      <c r="BA17" s="34" t="str">
        <f t="shared" si="5"/>
        <v>7. Type of crossing facility appropriate for street context</v>
      </c>
      <c r="BB17" s="35">
        <f>IF(VLOOKUP($H17,'How the score is generated (H)'!$B$4:$H$73,2,0)="ü",$Q17,0)</f>
        <v>0</v>
      </c>
      <c r="BC17" s="36">
        <f>IF(VLOOKUP($H17,'How the score is generated (H)'!$B$4:$H$73,2,0)="ü",$S17,0)</f>
        <v>0</v>
      </c>
      <c r="BD17" s="145">
        <f>IF(OR($M17=0,$N17=2),0,IF(VLOOKUP($H17,'How the score is generated (H)'!$B$4:$H$73,2,0)="ü",2,0))</f>
        <v>2</v>
      </c>
      <c r="BE17" s="35">
        <f>IF(VLOOKUP($H17,'How the score is generated (H)'!$B$4:$H$73,3,0)="ü",$Q17,0)</f>
        <v>0</v>
      </c>
      <c r="BF17" s="36">
        <f>IF(VLOOKUP($H17,'How the score is generated (H)'!$B$4:$H$73,3,0)="ü",$S17,0)</f>
        <v>0</v>
      </c>
      <c r="BG17" s="145">
        <f>IF(OR($M17=0,$N17=2),0,IF(VLOOKUP($H17,'How the score is generated (H)'!$B$4:$H$73,3,0)="ü",2,0))</f>
        <v>2</v>
      </c>
      <c r="BH17" s="35">
        <f>IF(VLOOKUP($H17,'How the score is generated (H)'!$B$4:$H$73,4,0)="ü",$Q17,0)</f>
        <v>0</v>
      </c>
      <c r="BI17" s="36">
        <f>IF(VLOOKUP($H17,'How the score is generated (H)'!$B$4:$H$73,4,0)="ü",$S17,0)</f>
        <v>0</v>
      </c>
      <c r="BJ17" s="145">
        <f>IF(OR($M17=0,$N17=2),0,IF(VLOOKUP($H17,'How the score is generated (H)'!$B$4:$H$73,4,0)="ü",2,0))</f>
        <v>0</v>
      </c>
      <c r="BK17" s="35">
        <f>IF(VLOOKUP($H17,'How the score is generated (H)'!$B$4:$H$73,5,0)="ü",$Q17,0)</f>
        <v>0</v>
      </c>
      <c r="BL17" s="36">
        <f>IF(VLOOKUP($H17,'How the score is generated (H)'!$B$4:$H$73,5,0)="ü",$S17,0)</f>
        <v>0</v>
      </c>
      <c r="BM17" s="145">
        <f>IF(OR($M17=0,$N17=2),0,IF(VLOOKUP($H17,'How the score is generated (H)'!$B$4:$H$73,5,0)="ü",2,0))</f>
        <v>0</v>
      </c>
      <c r="BN17" s="35">
        <f>IF(VLOOKUP($H17,'How the score is generated (H)'!$B$4:$H$73,6,0)="ü",$Q17,0)</f>
        <v>0</v>
      </c>
      <c r="BO17" s="36">
        <f>IF(VLOOKUP($H17,'How the score is generated (H)'!$B$4:$H$73,6,0)="ü",$S17,0)</f>
        <v>0</v>
      </c>
      <c r="BP17" s="145">
        <f>IF(OR($M17=0,$N17=2),0,IF(VLOOKUP($H17,'How the score is generated (H)'!$B$4:$H$73,6,0)="ü",2,0))</f>
        <v>0</v>
      </c>
      <c r="BQ17" s="35">
        <f>IF(VLOOKUP($H17,'How the score is generated (H)'!$B$4:$H$73,7,0)="ü",$Q17,0)</f>
        <v>0</v>
      </c>
      <c r="BR17" s="36">
        <f>IF(VLOOKUP($H17,'How the score is generated (H)'!$B$4:$H$73,7,0)="ü",$S17,0)</f>
        <v>0</v>
      </c>
      <c r="BS17" s="145">
        <f>IF(OR($M17=0,$N17=2),0,IF(VLOOKUP($H17,'How the score is generated (H)'!$B$4:$H$73,7,0)="ü",2,0))</f>
        <v>0</v>
      </c>
      <c r="BT17" s="23"/>
      <c r="BU17" s="35">
        <f>IF(VLOOKUP($H17,'How the score is generated (P)'!$B$4:$I$73,2,0)="ü",$Q17,0)</f>
        <v>0</v>
      </c>
      <c r="BV17" s="36">
        <f>IF(VLOOKUP($H17,'How the score is generated (P)'!$B$4:$I$73,2,0)="ü",$S17,0)</f>
        <v>0</v>
      </c>
      <c r="BW17" s="145">
        <f>IF(OR($M17=0,$N17=2),0,IF(VLOOKUP($H17,'How the score is generated (P)'!$B$4:$I$73,2,0)="ü",2,0))</f>
        <v>2</v>
      </c>
      <c r="BX17" s="35">
        <f>IF(VLOOKUP($H17,'How the score is generated (P)'!$B$4:$I$73,3,0)="ü",$Q17,0)</f>
        <v>0</v>
      </c>
      <c r="BY17" s="36">
        <f>IF(VLOOKUP($H17,'How the score is generated (P)'!$B$4:$I$73,3,0)="ü",$S17,0)</f>
        <v>0</v>
      </c>
      <c r="BZ17" s="145">
        <f>IF(OR($M17=0,$N17=2),0,IF(VLOOKUP($H17,'How the score is generated (P)'!$B$4:$I$73,3,0)="ü",2,0))</f>
        <v>0</v>
      </c>
      <c r="CA17" s="35">
        <f>IF(VLOOKUP($H17,'How the score is generated (P)'!$B$4:$I$73,4,0)="ü",$Q17,0)</f>
        <v>0</v>
      </c>
      <c r="CB17" s="36">
        <f>IF(VLOOKUP($H17,'How the score is generated (P)'!$B$4:$I$73,4,0)="ü",$S17,0)</f>
        <v>0</v>
      </c>
      <c r="CC17" s="145">
        <f>IF(OR($M17=0,$N17=2),0,IF(VLOOKUP($H17,'How the score is generated (P)'!$B$4:$I$73,4,0)="ü",2,0))</f>
        <v>0</v>
      </c>
      <c r="CD17" s="35">
        <f>IF(VLOOKUP($H17,'How the score is generated (P)'!$B$4:$I$73,5,0)="ü",$Q17,0)</f>
        <v>0</v>
      </c>
      <c r="CE17" s="36">
        <f>IF(VLOOKUP($H17,'How the score is generated (P)'!$B$4:$I$73,5,0)="ü",$S17,0)</f>
        <v>0</v>
      </c>
      <c r="CF17" s="145">
        <f>IF(OR($M17=0,$N17=2),0,IF(VLOOKUP($H17,'How the score is generated (P)'!$B$4:$I$73,5,0)="ü",2,0))</f>
        <v>2</v>
      </c>
      <c r="CG17" s="35">
        <f>IF(VLOOKUP($H17,'How the score is generated (P)'!$B$4:$I$73,6,0)="ü",$Q17,0)</f>
        <v>0</v>
      </c>
      <c r="CH17" s="36">
        <f>IF(VLOOKUP($H17,'How the score is generated (P)'!$B$4:$I$73,6,0)="ü",$S17,0)</f>
        <v>0</v>
      </c>
      <c r="CI17" s="145">
        <f>IF(OR($M17=0,$N17=2),0,IF(VLOOKUP($H17,'How the score is generated (P)'!$B$4:$I$73,6,0)="ü",2,0))</f>
        <v>2</v>
      </c>
      <c r="CJ17" s="35">
        <f>IF(VLOOKUP($H17,'How the score is generated (P)'!$B$4:$I$73,7,0)="ü",$Q17,0)</f>
        <v>0</v>
      </c>
      <c r="CK17" s="36">
        <f>IF(VLOOKUP($H17,'How the score is generated (P)'!$B$4:$I$73,7,0)="ü",$S17,0)</f>
        <v>0</v>
      </c>
      <c r="CL17" s="145">
        <f>IF(OR($M17=0,$N17=2),0,IF(VLOOKUP($H17,'How the score is generated (P)'!$B$4:$I$73,7,0)="ü",2,0))</f>
        <v>2</v>
      </c>
      <c r="CM17" s="35">
        <f>IF(VLOOKUP($H17,'How the score is generated (P)'!$B$4:$I$73,8,0)="ü",$Q17,0)</f>
        <v>0</v>
      </c>
      <c r="CN17" s="36">
        <f>IF(VLOOKUP($H17,'How the score is generated (P)'!$B$4:$I$73,8,0)="ü",$S17,0)</f>
        <v>0</v>
      </c>
      <c r="CO17" s="145">
        <f>IF(OR($M17=0,$N17=2),0,IF(VLOOKUP($H17,'How the score is generated (P)'!$B$4:$I$73,8,0)="ü",2,0))</f>
        <v>2</v>
      </c>
      <c r="CP17" s="300" t="s">
        <v>1063</v>
      </c>
    </row>
    <row r="18" spans="1:94" ht="78.5" thickBot="1" x14ac:dyDescent="0.4">
      <c r="A18" s="23"/>
      <c r="B18" s="31"/>
      <c r="C18" s="43" t="str">
        <f>Validation!$S$3</f>
        <v xml:space="preserve">Group 2. Pedestrian crossings (junction and mid-link) </v>
      </c>
      <c r="D18" s="164">
        <f>D17+1</f>
        <v>8</v>
      </c>
      <c r="E18" s="44" t="s">
        <v>39</v>
      </c>
      <c r="F18" s="38" t="s">
        <v>43</v>
      </c>
      <c r="G18" s="39" t="s">
        <v>973</v>
      </c>
      <c r="H18" s="41" t="s">
        <v>1148</v>
      </c>
      <c r="I18" s="390" t="s">
        <v>896</v>
      </c>
      <c r="J18" s="41" t="s">
        <v>965</v>
      </c>
      <c r="K18" s="41" t="s">
        <v>972</v>
      </c>
      <c r="L18" s="42" t="s">
        <v>974</v>
      </c>
      <c r="M18" s="170">
        <f>IF(Project!$B$27="Off-Street",0,1)</f>
        <v>1</v>
      </c>
      <c r="N18" s="425">
        <f t="shared" si="0"/>
        <v>0</v>
      </c>
      <c r="O18" s="237"/>
      <c r="P18" s="391"/>
      <c r="Q18" s="441">
        <f>IF(OR($M18=0,$O18="N/A"),"NA",VLOOKUP($O18,Validation!$D$2:$E$7,2,0))</f>
        <v>0</v>
      </c>
      <c r="R18" s="129">
        <f t="shared" si="1"/>
        <v>2</v>
      </c>
      <c r="S18" s="441">
        <f>IF(OR($M18=0,$P18="N/A"),"NA",VLOOKUP($P18,Validation!$D$2:$E$7,2,0))</f>
        <v>0</v>
      </c>
      <c r="T18" s="34">
        <f t="shared" si="2"/>
        <v>2</v>
      </c>
      <c r="U18" s="35">
        <f>IF(VLOOKUP($H18,'How the score is generated'!$B$4:$I$73,2,0)="ü",$Q18,0)</f>
        <v>0</v>
      </c>
      <c r="V18" s="36">
        <f>IF(VLOOKUP($H18,'How the score is generated'!$B$4:$I$73,2,0)="ü",$S18,0)</f>
        <v>0</v>
      </c>
      <c r="W18" s="145">
        <f>IF(OR($M18=0,$N18=2),0,IF(VLOOKUP($H18,'How the score is generated'!$B$4:$I$73,2,0)="ü",2,0))</f>
        <v>0</v>
      </c>
      <c r="X18" s="35">
        <f>IF(VLOOKUP($H18,'How the score is generated'!$B$4:$I$73,3,0)="ü",$Q18,0)</f>
        <v>0</v>
      </c>
      <c r="Y18" s="36">
        <f>IF(VLOOKUP($H18,'How the score is generated'!$B$4:$I$73,3,0)="ü",$S18,0)</f>
        <v>0</v>
      </c>
      <c r="Z18" s="145">
        <f>IF(OR($M18=0,$N18=2),0,IF(VLOOKUP($H18,'How the score is generated'!$B$4:$I$73,3,0)="ü",2,0))</f>
        <v>2</v>
      </c>
      <c r="AA18" s="35">
        <f>IF(VLOOKUP($H18,'How the score is generated'!$B$4:$I$73,4,0)="ü",$Q18,0)</f>
        <v>0</v>
      </c>
      <c r="AB18" s="36">
        <f>IF(VLOOKUP($H18,'How the score is generated'!$B$4:$I$73,4,0)="ü",$S18,0)</f>
        <v>0</v>
      </c>
      <c r="AC18" s="145">
        <f>IF(OR($M18=0,$N18=2),0,IF(VLOOKUP($H18,'How the score is generated'!$B$4:$I$73,4,0)="ü",2,0))</f>
        <v>0</v>
      </c>
      <c r="AD18" s="35">
        <f>IF(VLOOKUP($H18,'How the score is generated'!$B$4:$I$73,5,0)="ü",$Q18,0)</f>
        <v>0</v>
      </c>
      <c r="AE18" s="36">
        <f>IF(VLOOKUP($H18,'How the score is generated'!$B$4:$I$73,5,0)="ü",$S18,0)</f>
        <v>0</v>
      </c>
      <c r="AF18" s="145">
        <f>IF(OR($M18=0,$N18=2),0,IF(VLOOKUP($H18,'How the score is generated'!$B$4:$I$73,5,0)="ü",2,0))</f>
        <v>0</v>
      </c>
      <c r="AG18" s="35">
        <f>IF(VLOOKUP($H18,'How the score is generated'!$B$4:$I$73,6,0)="ü",$Q18,0)</f>
        <v>0</v>
      </c>
      <c r="AH18" s="36">
        <f>IF(VLOOKUP($H18,'How the score is generated'!$B$4:$I$73,6,0)="ü",$S18,0)</f>
        <v>0</v>
      </c>
      <c r="AI18" s="145">
        <f>IF(OR($M18=0,$N18=2),0,IF(VLOOKUP($H18,'How the score is generated'!$B$4:$I$73,6,0)="ü",2,0))</f>
        <v>0</v>
      </c>
      <c r="AJ18" s="35">
        <f>IF(VLOOKUP($H18,'How the score is generated'!$B$4:$I$73,7,0)="ü",$Q18,0)</f>
        <v>0</v>
      </c>
      <c r="AK18" s="36">
        <f>IF(VLOOKUP($H18,'How the score is generated'!$B$4:$I$73,7,0)="ü",$S18,0)</f>
        <v>0</v>
      </c>
      <c r="AL18" s="145">
        <f>IF(OR($M18=0,$N18=2),0,IF(VLOOKUP($H18,'How the score is generated'!$B$4:$I$73,7,0)="ü",2,0))</f>
        <v>0</v>
      </c>
      <c r="AM18" s="35">
        <f>IF(VLOOKUP($H18,'How the score is generated'!$B$4:$I$73,8,0)="ü",$Q18,0)</f>
        <v>0</v>
      </c>
      <c r="AN18" s="36">
        <f>IF(VLOOKUP($H18,'How the score is generated'!$B$4:$I$73,8,0)="ü",$S18,0)</f>
        <v>0</v>
      </c>
      <c r="AO18" s="145">
        <f>IF(OR($M18=0,$N18=2),0,IF(VLOOKUP($H18,'How the score is generated'!$B$4:$I$73,8,0)="ü",2,0))</f>
        <v>0</v>
      </c>
      <c r="AP18" s="23"/>
      <c r="AQ18" s="407"/>
      <c r="AR18" s="23"/>
      <c r="AS18" s="146"/>
      <c r="AW18" s="34"/>
      <c r="AX18" s="34" t="str">
        <f t="shared" si="3"/>
        <v/>
      </c>
      <c r="AY18" s="34" t="str">
        <f t="shared" si="4"/>
        <v/>
      </c>
      <c r="AZ18" s="34" t="str">
        <f>IF(M18=0,"",IF(P18="","",P18))</f>
        <v/>
      </c>
      <c r="BA18" s="34" t="str">
        <f t="shared" si="5"/>
        <v>8. Waiting time after pressing call button for green man to be displayed</v>
      </c>
      <c r="BB18" s="35">
        <f>IF(VLOOKUP($H18,'How the score is generated (H)'!$B$4:$H$73,2,0)="ü",$Q18,0)</f>
        <v>0</v>
      </c>
      <c r="BC18" s="36">
        <f>IF(VLOOKUP($H18,'How the score is generated (H)'!$B$4:$H$73,2,0)="ü",$S18,0)</f>
        <v>0</v>
      </c>
      <c r="BD18" s="145">
        <f>IF(OR($M18=0,$N18=2),0,IF(VLOOKUP($H18,'How the score is generated (H)'!$B$4:$H$73,2,0)="ü",2,0))</f>
        <v>2</v>
      </c>
      <c r="BE18" s="35">
        <f>IF(VLOOKUP($H18,'How the score is generated (H)'!$B$4:$H$73,3,0)="ü",$Q18,0)</f>
        <v>0</v>
      </c>
      <c r="BF18" s="36">
        <f>IF(VLOOKUP($H18,'How the score is generated (H)'!$B$4:$H$73,3,0)="ü",$S18,0)</f>
        <v>0</v>
      </c>
      <c r="BG18" s="145">
        <f>IF(OR($M18=0,$N18=2),0,IF(VLOOKUP($H18,'How the score is generated (H)'!$B$4:$H$73,3,0)="ü",2,0))</f>
        <v>2</v>
      </c>
      <c r="BH18" s="35">
        <f>IF(VLOOKUP($H18,'How the score is generated (H)'!$B$4:$H$73,4,0)="ü",$Q18,0)</f>
        <v>0</v>
      </c>
      <c r="BI18" s="36">
        <f>IF(VLOOKUP($H18,'How the score is generated (H)'!$B$4:$H$73,4,0)="ü",$S18,0)</f>
        <v>0</v>
      </c>
      <c r="BJ18" s="145">
        <f>IF(OR($M18=0,$N18=2),0,IF(VLOOKUP($H18,'How the score is generated (H)'!$B$4:$H$73,4,0)="ü",2,0))</f>
        <v>0</v>
      </c>
      <c r="BK18" s="35">
        <f>IF(VLOOKUP($H18,'How the score is generated (H)'!$B$4:$H$73,5,0)="ü",$Q18,0)</f>
        <v>0</v>
      </c>
      <c r="BL18" s="36">
        <f>IF(VLOOKUP($H18,'How the score is generated (H)'!$B$4:$H$73,5,0)="ü",$S18,0)</f>
        <v>0</v>
      </c>
      <c r="BM18" s="145">
        <f>IF(OR($M18=0,$N18=2),0,IF(VLOOKUP($H18,'How the score is generated (H)'!$B$4:$H$73,5,0)="ü",2,0))</f>
        <v>0</v>
      </c>
      <c r="BN18" s="35">
        <f>IF(VLOOKUP($H18,'How the score is generated (H)'!$B$4:$H$73,6,0)="ü",$Q18,0)</f>
        <v>0</v>
      </c>
      <c r="BO18" s="36">
        <f>IF(VLOOKUP($H18,'How the score is generated (H)'!$B$4:$H$73,6,0)="ü",$S18,0)</f>
        <v>0</v>
      </c>
      <c r="BP18" s="145">
        <f>IF(OR($M18=0,$N18=2),0,IF(VLOOKUP($H18,'How the score is generated (H)'!$B$4:$H$73,6,0)="ü",2,0))</f>
        <v>0</v>
      </c>
      <c r="BQ18" s="35">
        <f>IF(VLOOKUP($H18,'How the score is generated (H)'!$B$4:$H$73,7,0)="ü",$Q18,0)</f>
        <v>0</v>
      </c>
      <c r="BR18" s="36">
        <f>IF(VLOOKUP($H18,'How the score is generated (H)'!$B$4:$H$73,7,0)="ü",$S18,0)</f>
        <v>0</v>
      </c>
      <c r="BS18" s="145">
        <f>IF(OR($M18=0,$N18=2),0,IF(VLOOKUP($H18,'How the score is generated (H)'!$B$4:$H$73,7,0)="ü",2,0))</f>
        <v>0</v>
      </c>
      <c r="BT18" s="23"/>
      <c r="BU18" s="35">
        <f>IF(VLOOKUP($H18,'How the score is generated (P)'!$B$4:$I$73,2,0)="ü",$Q18,0)</f>
        <v>0</v>
      </c>
      <c r="BV18" s="36">
        <f>IF(VLOOKUP($H18,'How the score is generated (P)'!$B$4:$I$73,2,0)="ü",$S18,0)</f>
        <v>0</v>
      </c>
      <c r="BW18" s="145">
        <f>IF(OR($M18=0,$N18=2),0,IF(VLOOKUP($H18,'How the score is generated (P)'!$B$4:$I$73,2,0)="ü",2,0))</f>
        <v>0</v>
      </c>
      <c r="BX18" s="35">
        <f>IF(VLOOKUP($H18,'How the score is generated (P)'!$B$4:$I$73,3,0)="ü",$Q18,0)</f>
        <v>0</v>
      </c>
      <c r="BY18" s="36">
        <f>IF(VLOOKUP($H18,'How the score is generated (P)'!$B$4:$I$73,3,0)="ü",$S18,0)</f>
        <v>0</v>
      </c>
      <c r="BZ18" s="145">
        <f>IF(OR($M18=0,$N18=2),0,IF(VLOOKUP($H18,'How the score is generated (P)'!$B$4:$I$73,3,0)="ü",2,0))</f>
        <v>0</v>
      </c>
      <c r="CA18" s="35">
        <f>IF(VLOOKUP($H18,'How the score is generated (P)'!$B$4:$I$73,4,0)="ü",$Q18,0)</f>
        <v>0</v>
      </c>
      <c r="CB18" s="36">
        <f>IF(VLOOKUP($H18,'How the score is generated (P)'!$B$4:$I$73,4,0)="ü",$S18,0)</f>
        <v>0</v>
      </c>
      <c r="CC18" s="145">
        <f>IF(OR($M18=0,$N18=2),0,IF(VLOOKUP($H18,'How the score is generated (P)'!$B$4:$I$73,4,0)="ü",2,0))</f>
        <v>0</v>
      </c>
      <c r="CD18" s="35">
        <f>IF(VLOOKUP($H18,'How the score is generated (P)'!$B$4:$I$73,5,0)="ü",$Q18,0)</f>
        <v>0</v>
      </c>
      <c r="CE18" s="36">
        <f>IF(VLOOKUP($H18,'How the score is generated (P)'!$B$4:$I$73,5,0)="ü",$S18,0)</f>
        <v>0</v>
      </c>
      <c r="CF18" s="145">
        <f>IF(OR($M18=0,$N18=2),0,IF(VLOOKUP($H18,'How the score is generated (P)'!$B$4:$I$73,5,0)="ü",2,0))</f>
        <v>0</v>
      </c>
      <c r="CG18" s="35">
        <f>IF(VLOOKUP($H18,'How the score is generated (P)'!$B$4:$I$73,6,0)="ü",$Q18,0)</f>
        <v>0</v>
      </c>
      <c r="CH18" s="36">
        <f>IF(VLOOKUP($H18,'How the score is generated (P)'!$B$4:$I$73,6,0)="ü",$S18,0)</f>
        <v>0</v>
      </c>
      <c r="CI18" s="145">
        <f>IF(OR($M18=0,$N18=2),0,IF(VLOOKUP($H18,'How the score is generated (P)'!$B$4:$I$73,6,0)="ü",2,0))</f>
        <v>0</v>
      </c>
      <c r="CJ18" s="35">
        <f>IF(VLOOKUP($H18,'How the score is generated (P)'!$B$4:$I$73,7,0)="ü",$Q18,0)</f>
        <v>0</v>
      </c>
      <c r="CK18" s="36">
        <f>IF(VLOOKUP($H18,'How the score is generated (P)'!$B$4:$I$73,7,0)="ü",$S18,0)</f>
        <v>0</v>
      </c>
      <c r="CL18" s="145">
        <f>IF(OR($M18=0,$N18=2),0,IF(VLOOKUP($H18,'How the score is generated (P)'!$B$4:$I$73,7,0)="ü",2,0))</f>
        <v>0</v>
      </c>
      <c r="CM18" s="35">
        <f>IF(VLOOKUP($H18,'How the score is generated (P)'!$B$4:$I$73,8,0)="ü",$Q18,0)</f>
        <v>0</v>
      </c>
      <c r="CN18" s="36">
        <f>IF(VLOOKUP($H18,'How the score is generated (P)'!$B$4:$I$73,8,0)="ü",$S18,0)</f>
        <v>0</v>
      </c>
      <c r="CO18" s="145">
        <f>IF(OR($M18=0,$N18=2),0,IF(VLOOKUP($H18,'How the score is generated (P)'!$B$4:$I$73,8,0)="ü",2,0))</f>
        <v>0</v>
      </c>
      <c r="CP18" s="300" t="s">
        <v>1101</v>
      </c>
    </row>
    <row r="19" spans="1:94" ht="79.5" customHeight="1" thickBot="1" x14ac:dyDescent="0.4">
      <c r="A19" s="23"/>
      <c r="B19" s="31"/>
      <c r="C19" s="43" t="str">
        <f>Validation!$S$3</f>
        <v xml:space="preserve">Group 2. Pedestrian crossings (junction and mid-link) </v>
      </c>
      <c r="D19" s="164">
        <f>D18+1</f>
        <v>9</v>
      </c>
      <c r="E19" s="44" t="s">
        <v>39</v>
      </c>
      <c r="F19" s="38" t="s">
        <v>43</v>
      </c>
      <c r="G19" s="39" t="s">
        <v>1149</v>
      </c>
      <c r="H19" s="41" t="s">
        <v>1150</v>
      </c>
      <c r="I19" s="390" t="s">
        <v>896</v>
      </c>
      <c r="J19" s="41" t="s">
        <v>64</v>
      </c>
      <c r="K19" s="41" t="s">
        <v>65</v>
      </c>
      <c r="L19" s="42" t="s">
        <v>971</v>
      </c>
      <c r="M19" s="170">
        <f>IF(Project!$B$27="Off-Street",0,1)</f>
        <v>1</v>
      </c>
      <c r="N19" s="425">
        <f t="shared" si="0"/>
        <v>0</v>
      </c>
      <c r="O19" s="237"/>
      <c r="P19" s="391"/>
      <c r="Q19" s="441">
        <f>IF(OR($M19=0,$O19="N/A"),"NA",VLOOKUP($O19,Validation!$D$2:$E$7,2,0))</f>
        <v>0</v>
      </c>
      <c r="R19" s="129">
        <f t="shared" si="1"/>
        <v>2</v>
      </c>
      <c r="S19" s="441">
        <f>IF(OR($M19=0,$P19="N/A"),"NA",VLOOKUP($P19,Validation!$D$2:$E$7,2,0))</f>
        <v>0</v>
      </c>
      <c r="T19" s="34">
        <f t="shared" si="2"/>
        <v>2</v>
      </c>
      <c r="U19" s="35">
        <f>IF(VLOOKUP($H19,'How the score is generated'!$B$4:$I$73,2,0)="ü",$Q19,0)</f>
        <v>0</v>
      </c>
      <c r="V19" s="36">
        <f>IF(VLOOKUP($H19,'How the score is generated'!$B$4:$I$73,2,0)="ü",$S19,0)</f>
        <v>0</v>
      </c>
      <c r="W19" s="145">
        <f>IF(OR($M19=0,$N19=2),0,IF(VLOOKUP($H19,'How the score is generated'!$B$4:$I$73,2,0)="ü",2,0))</f>
        <v>0</v>
      </c>
      <c r="X19" s="35">
        <f>IF(VLOOKUP($H19,'How the score is generated'!$B$4:$I$73,3,0)="ü",$Q19,0)</f>
        <v>0</v>
      </c>
      <c r="Y19" s="36">
        <f>IF(VLOOKUP($H19,'How the score is generated'!$B$4:$I$73,3,0)="ü",$S19,0)</f>
        <v>0</v>
      </c>
      <c r="Z19" s="145">
        <f>IF(OR($M19=0,$N19=2),0,IF(VLOOKUP($H19,'How the score is generated'!$B$4:$I$73,3,0)="ü",2,0))</f>
        <v>2</v>
      </c>
      <c r="AA19" s="35">
        <f>IF(VLOOKUP($H19,'How the score is generated'!$B$4:$I$73,4,0)="ü",$Q19,0)</f>
        <v>0</v>
      </c>
      <c r="AB19" s="36">
        <f>IF(VLOOKUP($H19,'How the score is generated'!$B$4:$I$73,4,0)="ü",$S19,0)</f>
        <v>0</v>
      </c>
      <c r="AC19" s="145">
        <f>IF(OR($M19=0,$N19=2),0,IF(VLOOKUP($H19,'How the score is generated'!$B$4:$I$73,4,0)="ü",2,0))</f>
        <v>0</v>
      </c>
      <c r="AD19" s="35">
        <f>IF(VLOOKUP($H19,'How the score is generated'!$B$4:$I$73,5,0)="ü",$Q19,0)</f>
        <v>0</v>
      </c>
      <c r="AE19" s="36">
        <f>IF(VLOOKUP($H19,'How the score is generated'!$B$4:$I$73,5,0)="ü",$S19,0)</f>
        <v>0</v>
      </c>
      <c r="AF19" s="145">
        <f>IF(OR($M19=0,$N19=2),0,IF(VLOOKUP($H19,'How the score is generated'!$B$4:$I$73,5,0)="ü",2,0))</f>
        <v>0</v>
      </c>
      <c r="AG19" s="35">
        <f>IF(VLOOKUP($H19,'How the score is generated'!$B$4:$I$73,6,0)="ü",$Q19,0)</f>
        <v>0</v>
      </c>
      <c r="AH19" s="36">
        <f>IF(VLOOKUP($H19,'How the score is generated'!$B$4:$I$73,6,0)="ü",$S19,0)</f>
        <v>0</v>
      </c>
      <c r="AI19" s="145">
        <f>IF(OR($M19=0,$N19=2),0,IF(VLOOKUP($H19,'How the score is generated'!$B$4:$I$73,6,0)="ü",2,0))</f>
        <v>0</v>
      </c>
      <c r="AJ19" s="35">
        <f>IF(VLOOKUP($H19,'How the score is generated'!$B$4:$I$73,7,0)="ü",$Q19,0)</f>
        <v>0</v>
      </c>
      <c r="AK19" s="36">
        <f>IF(VLOOKUP($H19,'How the score is generated'!$B$4:$I$73,7,0)="ü",$S19,0)</f>
        <v>0</v>
      </c>
      <c r="AL19" s="145">
        <f>IF(OR($M19=0,$N19=2),0,IF(VLOOKUP($H19,'How the score is generated'!$B$4:$I$73,7,0)="ü",2,0))</f>
        <v>0</v>
      </c>
      <c r="AM19" s="35">
        <f>IF(VLOOKUP($H19,'How the score is generated'!$B$4:$I$73,8,0)="ü",$Q19,0)</f>
        <v>0</v>
      </c>
      <c r="AN19" s="36">
        <f>IF(VLOOKUP($H19,'How the score is generated'!$B$4:$I$73,8,0)="ü",$S19,0)</f>
        <v>0</v>
      </c>
      <c r="AO19" s="145">
        <f>IF(OR($M19=0,$N19=2),0,IF(VLOOKUP($H19,'How the score is generated'!$B$4:$I$73,8,0)="ü",2,0))</f>
        <v>0</v>
      </c>
      <c r="AP19" s="23"/>
      <c r="AQ19" s="404"/>
      <c r="AR19" s="23"/>
      <c r="AS19" s="146"/>
      <c r="AW19" s="34"/>
      <c r="AX19" s="34" t="str">
        <f t="shared" si="3"/>
        <v/>
      </c>
      <c r="AY19" s="34" t="str">
        <f t="shared" si="4"/>
        <v/>
      </c>
      <c r="AZ19" s="34" t="str">
        <f>IF(M19=0,"",IF(P19="","",P19))</f>
        <v/>
      </c>
      <c r="BA19" s="34" t="str">
        <f t="shared" si="5"/>
        <v>9. Walking speed used in calculating pedestrian crossing clearance timings</v>
      </c>
      <c r="BB19" s="35">
        <f>IF(VLOOKUP($H19,'How the score is generated (H)'!$B$4:$H$73,2,0)="ü",$Q19,0)</f>
        <v>0</v>
      </c>
      <c r="BC19" s="36">
        <f>IF(VLOOKUP($H19,'How the score is generated (H)'!$B$4:$H$73,2,0)="ü",$S19,0)</f>
        <v>0</v>
      </c>
      <c r="BD19" s="145">
        <f>IF(OR($M19=0,$N19=2),0,IF(VLOOKUP($H19,'How the score is generated (H)'!$B$4:$H$73,2,0)="ü",2,0))</f>
        <v>2</v>
      </c>
      <c r="BE19" s="35">
        <f>IF(VLOOKUP($H19,'How the score is generated (H)'!$B$4:$H$73,3,0)="ü",$Q19,0)</f>
        <v>0</v>
      </c>
      <c r="BF19" s="36">
        <f>IF(VLOOKUP($H19,'How the score is generated (H)'!$B$4:$H$73,3,0)="ü",$S19,0)</f>
        <v>0</v>
      </c>
      <c r="BG19" s="145">
        <f>IF(OR($M19=0,$N19=2),0,IF(VLOOKUP($H19,'How the score is generated (H)'!$B$4:$H$73,3,0)="ü",2,0))</f>
        <v>2</v>
      </c>
      <c r="BH19" s="35">
        <f>IF(VLOOKUP($H19,'How the score is generated (H)'!$B$4:$H$73,4,0)="ü",$Q19,0)</f>
        <v>0</v>
      </c>
      <c r="BI19" s="36">
        <f>IF(VLOOKUP($H19,'How the score is generated (H)'!$B$4:$H$73,4,0)="ü",$S19,0)</f>
        <v>0</v>
      </c>
      <c r="BJ19" s="145">
        <f>IF(OR($M19=0,$N19=2),0,IF(VLOOKUP($H19,'How the score is generated (H)'!$B$4:$H$73,4,0)="ü",2,0))</f>
        <v>0</v>
      </c>
      <c r="BK19" s="35">
        <f>IF(VLOOKUP($H19,'How the score is generated (H)'!$B$4:$H$73,5,0)="ü",$Q19,0)</f>
        <v>0</v>
      </c>
      <c r="BL19" s="36">
        <f>IF(VLOOKUP($H19,'How the score is generated (H)'!$B$4:$H$73,5,0)="ü",$S19,0)</f>
        <v>0</v>
      </c>
      <c r="BM19" s="145">
        <f>IF(OR($M19=0,$N19=2),0,IF(VLOOKUP($H19,'How the score is generated (H)'!$B$4:$H$73,5,0)="ü",2,0))</f>
        <v>0</v>
      </c>
      <c r="BN19" s="35">
        <f>IF(VLOOKUP($H19,'How the score is generated (H)'!$B$4:$H$73,6,0)="ü",$Q19,0)</f>
        <v>0</v>
      </c>
      <c r="BO19" s="36">
        <f>IF(VLOOKUP($H19,'How the score is generated (H)'!$B$4:$H$73,6,0)="ü",$S19,0)</f>
        <v>0</v>
      </c>
      <c r="BP19" s="145">
        <f>IF(OR($M19=0,$N19=2),0,IF(VLOOKUP($H19,'How the score is generated (H)'!$B$4:$H$73,6,0)="ü",2,0))</f>
        <v>2</v>
      </c>
      <c r="BQ19" s="35">
        <f>IF(VLOOKUP($H19,'How the score is generated (H)'!$B$4:$H$73,7,0)="ü",$Q19,0)</f>
        <v>0</v>
      </c>
      <c r="BR19" s="36">
        <f>IF(VLOOKUP($H19,'How the score is generated (H)'!$B$4:$H$73,7,0)="ü",$S19,0)</f>
        <v>0</v>
      </c>
      <c r="BS19" s="145">
        <f>IF(OR($M19=0,$N19=2),0,IF(VLOOKUP($H19,'How the score is generated (H)'!$B$4:$H$73,7,0)="ü",2,0))</f>
        <v>0</v>
      </c>
      <c r="BT19" s="23"/>
      <c r="BU19" s="35">
        <f>IF(VLOOKUP($H19,'How the score is generated (P)'!$B$4:$I$73,2,0)="ü",$Q19,0)</f>
        <v>0</v>
      </c>
      <c r="BV19" s="36">
        <f>IF(VLOOKUP($H19,'How the score is generated (P)'!$B$4:$I$73,2,0)="ü",$S19,0)</f>
        <v>0</v>
      </c>
      <c r="BW19" s="145">
        <f>IF(OR($M19=0,$N19=2),0,IF(VLOOKUP($H19,'How the score is generated (P)'!$B$4:$I$73,2,0)="ü",2,0))</f>
        <v>0</v>
      </c>
      <c r="BX19" s="35">
        <f>IF(VLOOKUP($H19,'How the score is generated (P)'!$B$4:$I$73,3,0)="ü",$Q19,0)</f>
        <v>0</v>
      </c>
      <c r="BY19" s="36">
        <f>IF(VLOOKUP($H19,'How the score is generated (P)'!$B$4:$I$73,3,0)="ü",$S19,0)</f>
        <v>0</v>
      </c>
      <c r="BZ19" s="145">
        <f>IF(OR($M19=0,$N19=2),0,IF(VLOOKUP($H19,'How the score is generated (P)'!$B$4:$I$73,3,0)="ü",2,0))</f>
        <v>0</v>
      </c>
      <c r="CA19" s="35">
        <f>IF(VLOOKUP($H19,'How the score is generated (P)'!$B$4:$I$73,4,0)="ü",$Q19,0)</f>
        <v>0</v>
      </c>
      <c r="CB19" s="36">
        <f>IF(VLOOKUP($H19,'How the score is generated (P)'!$B$4:$I$73,4,0)="ü",$S19,0)</f>
        <v>0</v>
      </c>
      <c r="CC19" s="145">
        <f>IF(OR($M19=0,$N19=2),0,IF(VLOOKUP($H19,'How the score is generated (P)'!$B$4:$I$73,4,0)="ü",2,0))</f>
        <v>0</v>
      </c>
      <c r="CD19" s="35">
        <f>IF(VLOOKUP($H19,'How the score is generated (P)'!$B$4:$I$73,5,0)="ü",$Q19,0)</f>
        <v>0</v>
      </c>
      <c r="CE19" s="36">
        <f>IF(VLOOKUP($H19,'How the score is generated (P)'!$B$4:$I$73,5,0)="ü",$S19,0)</f>
        <v>0</v>
      </c>
      <c r="CF19" s="145">
        <f>IF(OR($M19=0,$N19=2),0,IF(VLOOKUP($H19,'How the score is generated (P)'!$B$4:$I$73,5,0)="ü",2,0))</f>
        <v>2</v>
      </c>
      <c r="CG19" s="35">
        <f>IF(VLOOKUP($H19,'How the score is generated (P)'!$B$4:$I$73,6,0)="ü",$Q19,0)</f>
        <v>0</v>
      </c>
      <c r="CH19" s="36">
        <f>IF(VLOOKUP($H19,'How the score is generated (P)'!$B$4:$I$73,6,0)="ü",$S19,0)</f>
        <v>0</v>
      </c>
      <c r="CI19" s="145">
        <f>IF(OR($M19=0,$N19=2),0,IF(VLOOKUP($H19,'How the score is generated (P)'!$B$4:$I$73,6,0)="ü",2,0))</f>
        <v>2</v>
      </c>
      <c r="CJ19" s="35">
        <f>IF(VLOOKUP($H19,'How the score is generated (P)'!$B$4:$I$73,7,0)="ü",$Q19,0)</f>
        <v>0</v>
      </c>
      <c r="CK19" s="36">
        <f>IF(VLOOKUP($H19,'How the score is generated (P)'!$B$4:$I$73,7,0)="ü",$S19,0)</f>
        <v>0</v>
      </c>
      <c r="CL19" s="145">
        <f>IF(OR($M19=0,$N19=2),0,IF(VLOOKUP($H19,'How the score is generated (P)'!$B$4:$I$73,7,0)="ü",2,0))</f>
        <v>0</v>
      </c>
      <c r="CM19" s="35">
        <f>IF(VLOOKUP($H19,'How the score is generated (P)'!$B$4:$I$73,8,0)="ü",$Q19,0)</f>
        <v>0</v>
      </c>
      <c r="CN19" s="36">
        <f>IF(VLOOKUP($H19,'How the score is generated (P)'!$B$4:$I$73,8,0)="ü",$S19,0)</f>
        <v>0</v>
      </c>
      <c r="CO19" s="145">
        <f>IF(OR($M19=0,$N19=2),0,IF(VLOOKUP($H19,'How the score is generated (P)'!$B$4:$I$73,8,0)="ü",2,0))</f>
        <v>2</v>
      </c>
      <c r="CP19" s="300" t="s">
        <v>1071</v>
      </c>
    </row>
    <row r="20" spans="1:94" ht="55" customHeight="1" thickBot="1" x14ac:dyDescent="0.4">
      <c r="A20" s="23"/>
      <c r="B20" s="31"/>
      <c r="C20" s="43" t="str">
        <f>Validation!$S$3</f>
        <v xml:space="preserve">Group 2. Pedestrian crossings (junction and mid-link) </v>
      </c>
      <c r="D20" s="164">
        <f>D19+1</f>
        <v>10</v>
      </c>
      <c r="E20" s="44" t="s">
        <v>39</v>
      </c>
      <c r="F20" s="38" t="s">
        <v>43</v>
      </c>
      <c r="G20" s="39" t="s">
        <v>1228</v>
      </c>
      <c r="H20" s="41" t="s">
        <v>870</v>
      </c>
      <c r="I20" s="390" t="s">
        <v>896</v>
      </c>
      <c r="J20" s="41" t="s">
        <v>966</v>
      </c>
      <c r="K20" s="41" t="s">
        <v>967</v>
      </c>
      <c r="L20" s="42" t="s">
        <v>968</v>
      </c>
      <c r="M20" s="170">
        <f>IF(Project!$B$27="Off-Street",0,1)</f>
        <v>1</v>
      </c>
      <c r="N20" s="425">
        <f t="shared" si="0"/>
        <v>0</v>
      </c>
      <c r="O20" s="237"/>
      <c r="P20" s="391"/>
      <c r="Q20" s="441">
        <f>IF(OR($M20=0,$O20="N/A"),"NA",VLOOKUP($O20,Validation!$D$2:$E$7,2,0))</f>
        <v>0</v>
      </c>
      <c r="R20" s="129">
        <f t="shared" si="1"/>
        <v>2</v>
      </c>
      <c r="S20" s="441">
        <f>IF(OR($M20=0,$P20="N/A"),"NA",VLOOKUP($P20,Validation!$D$2:$E$7,2,0))</f>
        <v>0</v>
      </c>
      <c r="T20" s="34">
        <f t="shared" si="2"/>
        <v>2</v>
      </c>
      <c r="U20" s="35">
        <f>IF(VLOOKUP($H20,'How the score is generated'!$B$4:$I$73,2,0)="ü",$Q20,0)</f>
        <v>0</v>
      </c>
      <c r="V20" s="36">
        <f>IF(VLOOKUP($H20,'How the score is generated'!$B$4:$I$73,2,0)="ü",$S20,0)</f>
        <v>0</v>
      </c>
      <c r="W20" s="145">
        <f>IF(OR($M20=0,$N20=2),0,IF(VLOOKUP($H20,'How the score is generated'!$B$4:$I$73,2,0)="ü",2,0))</f>
        <v>0</v>
      </c>
      <c r="X20" s="35">
        <f>IF(VLOOKUP($H20,'How the score is generated'!$B$4:$I$73,3,0)="ü",$Q20,0)</f>
        <v>0</v>
      </c>
      <c r="Y20" s="36">
        <f>IF(VLOOKUP($H20,'How the score is generated'!$B$4:$I$73,3,0)="ü",$S20,0)</f>
        <v>0</v>
      </c>
      <c r="Z20" s="145">
        <f>IF(OR($M20=0,$N20=2),0,IF(VLOOKUP($H20,'How the score is generated'!$B$4:$I$73,3,0)="ü",2,0))</f>
        <v>2</v>
      </c>
      <c r="AA20" s="35">
        <f>IF(VLOOKUP($H20,'How the score is generated'!$B$4:$I$73,4,0)="ü",$Q20,0)</f>
        <v>0</v>
      </c>
      <c r="AB20" s="36">
        <f>IF(VLOOKUP($H20,'How the score is generated'!$B$4:$I$73,4,0)="ü",$S20,0)</f>
        <v>0</v>
      </c>
      <c r="AC20" s="145">
        <f>IF(OR($M20=0,$N20=2),0,IF(VLOOKUP($H20,'How the score is generated'!$B$4:$I$73,4,0)="ü",2,0))</f>
        <v>0</v>
      </c>
      <c r="AD20" s="35">
        <f>IF(VLOOKUP($H20,'How the score is generated'!$B$4:$I$73,5,0)="ü",$Q20,0)</f>
        <v>0</v>
      </c>
      <c r="AE20" s="36">
        <f>IF(VLOOKUP($H20,'How the score is generated'!$B$4:$I$73,5,0)="ü",$S20,0)</f>
        <v>0</v>
      </c>
      <c r="AF20" s="145">
        <f>IF(OR($M20=0,$N20=2),0,IF(VLOOKUP($H20,'How the score is generated'!$B$4:$I$73,5,0)="ü",2,0))</f>
        <v>0</v>
      </c>
      <c r="AG20" s="35">
        <f>IF(VLOOKUP($H20,'How the score is generated'!$B$4:$I$73,6,0)="ü",$Q20,0)</f>
        <v>0</v>
      </c>
      <c r="AH20" s="36">
        <f>IF(VLOOKUP($H20,'How the score is generated'!$B$4:$I$73,6,0)="ü",$S20,0)</f>
        <v>0</v>
      </c>
      <c r="AI20" s="145">
        <f>IF(OR($M20=0,$N20=2),0,IF(VLOOKUP($H20,'How the score is generated'!$B$4:$I$73,6,0)="ü",2,0))</f>
        <v>0</v>
      </c>
      <c r="AJ20" s="35">
        <f>IF(VLOOKUP($H20,'How the score is generated'!$B$4:$I$73,7,0)="ü",$Q20,0)</f>
        <v>0</v>
      </c>
      <c r="AK20" s="36">
        <f>IF(VLOOKUP($H20,'How the score is generated'!$B$4:$I$73,7,0)="ü",$S20,0)</f>
        <v>0</v>
      </c>
      <c r="AL20" s="145">
        <f>IF(OR($M20=0,$N20=2),0,IF(VLOOKUP($H20,'How the score is generated'!$B$4:$I$73,7,0)="ü",2,0))</f>
        <v>0</v>
      </c>
      <c r="AM20" s="35">
        <f>IF(VLOOKUP($H20,'How the score is generated'!$B$4:$I$73,8,0)="ü",$Q20,0)</f>
        <v>0</v>
      </c>
      <c r="AN20" s="36">
        <f>IF(VLOOKUP($H20,'How the score is generated'!$B$4:$I$73,8,0)="ü",$S20,0)</f>
        <v>0</v>
      </c>
      <c r="AO20" s="145">
        <f>IF(OR($M20=0,$N20=2),0,IF(VLOOKUP($H20,'How the score is generated'!$B$4:$I$73,8,0)="ü",2,0))</f>
        <v>0</v>
      </c>
      <c r="AP20" s="23"/>
      <c r="AQ20" s="404" t="s">
        <v>1227</v>
      </c>
      <c r="AR20" s="23"/>
      <c r="AS20" s="146"/>
      <c r="AW20" s="34"/>
      <c r="AX20" s="34" t="str">
        <f t="shared" si="3"/>
        <v/>
      </c>
      <c r="AY20" s="34" t="str">
        <f t="shared" si="4"/>
        <v/>
      </c>
      <c r="AZ20" s="34" t="str">
        <f>IF(M20=0,"",IF(P20="","",P20))</f>
        <v/>
      </c>
      <c r="BA20" s="34" t="str">
        <f t="shared" si="5"/>
        <v>10. Crossings on key pedestrian routes that create cross-street permeability and route continuity</v>
      </c>
      <c r="BB20" s="35">
        <f>IF(VLOOKUP($H20,'How the score is generated (H)'!$B$4:$H$73,2,0)="ü",$Q20,0)</f>
        <v>0</v>
      </c>
      <c r="BC20" s="36">
        <f>IF(VLOOKUP($H20,'How the score is generated (H)'!$B$4:$H$73,2,0)="ü",$S20,0)</f>
        <v>0</v>
      </c>
      <c r="BD20" s="145">
        <f>IF(OR($M20=0,$N20=2),0,IF(VLOOKUP($H20,'How the score is generated (H)'!$B$4:$H$73,2,0)="ü",2,0))</f>
        <v>2</v>
      </c>
      <c r="BE20" s="35">
        <f>IF(VLOOKUP($H20,'How the score is generated (H)'!$B$4:$H$73,3,0)="ü",$Q20,0)</f>
        <v>0</v>
      </c>
      <c r="BF20" s="36">
        <f>IF(VLOOKUP($H20,'How the score is generated (H)'!$B$4:$H$73,3,0)="ü",$S20,0)</f>
        <v>0</v>
      </c>
      <c r="BG20" s="145">
        <f>IF(OR($M20=0,$N20=2),0,IF(VLOOKUP($H20,'How the score is generated (H)'!$B$4:$H$73,3,0)="ü",2,0))</f>
        <v>2</v>
      </c>
      <c r="BH20" s="35">
        <f>IF(VLOOKUP($H20,'How the score is generated (H)'!$B$4:$H$73,4,0)="ü",$Q20,0)</f>
        <v>0</v>
      </c>
      <c r="BI20" s="36">
        <f>IF(VLOOKUP($H20,'How the score is generated (H)'!$B$4:$H$73,4,0)="ü",$S20,0)</f>
        <v>0</v>
      </c>
      <c r="BJ20" s="145">
        <f>IF(OR($M20=0,$N20=2),0,IF(VLOOKUP($H20,'How the score is generated (H)'!$B$4:$H$73,4,0)="ü",2,0))</f>
        <v>0</v>
      </c>
      <c r="BK20" s="35">
        <f>IF(VLOOKUP($H20,'How the score is generated (H)'!$B$4:$H$73,5,0)="ü",$Q20,0)</f>
        <v>0</v>
      </c>
      <c r="BL20" s="36">
        <f>IF(VLOOKUP($H20,'How the score is generated (H)'!$B$4:$H$73,5,0)="ü",$S20,0)</f>
        <v>0</v>
      </c>
      <c r="BM20" s="145">
        <f>IF(OR($M20=0,$N20=2),0,IF(VLOOKUP($H20,'How the score is generated (H)'!$B$4:$H$73,5,0)="ü",2,0))</f>
        <v>0</v>
      </c>
      <c r="BN20" s="35">
        <f>IF(VLOOKUP($H20,'How the score is generated (H)'!$B$4:$H$73,6,0)="ü",$Q20,0)</f>
        <v>0</v>
      </c>
      <c r="BO20" s="36">
        <f>IF(VLOOKUP($H20,'How the score is generated (H)'!$B$4:$H$73,6,0)="ü",$S20,0)</f>
        <v>0</v>
      </c>
      <c r="BP20" s="145">
        <f>IF(OR($M20=0,$N20=2),0,IF(VLOOKUP($H20,'How the score is generated (H)'!$B$4:$H$73,6,0)="ü",2,0))</f>
        <v>0</v>
      </c>
      <c r="BQ20" s="35">
        <f>IF(VLOOKUP($H20,'How the score is generated (H)'!$B$4:$H$73,7,0)="ü",$Q20,0)</f>
        <v>0</v>
      </c>
      <c r="BR20" s="36">
        <f>IF(VLOOKUP($H20,'How the score is generated (H)'!$B$4:$H$73,7,0)="ü",$S20,0)</f>
        <v>0</v>
      </c>
      <c r="BS20" s="145">
        <f>IF(OR($M20=0,$N20=2),0,IF(VLOOKUP($H20,'How the score is generated (H)'!$B$4:$H$73,7,0)="ü",2,0))</f>
        <v>0</v>
      </c>
      <c r="BT20" s="23"/>
      <c r="BU20" s="35">
        <f>IF(VLOOKUP($H20,'How the score is generated (P)'!$B$4:$I$73,2,0)="ü",$Q20,0)</f>
        <v>0</v>
      </c>
      <c r="BV20" s="36">
        <f>IF(VLOOKUP($H20,'How the score is generated (P)'!$B$4:$I$73,2,0)="ü",$S20,0)</f>
        <v>0</v>
      </c>
      <c r="BW20" s="145">
        <f>IF(OR($M20=0,$N20=2),0,IF(VLOOKUP($H20,'How the score is generated (P)'!$B$4:$I$73,2,0)="ü",2,0))</f>
        <v>0</v>
      </c>
      <c r="BX20" s="35">
        <f>IF(VLOOKUP($H20,'How the score is generated (P)'!$B$4:$I$73,3,0)="ü",$Q20,0)</f>
        <v>0</v>
      </c>
      <c r="BY20" s="36">
        <f>IF(VLOOKUP($H20,'How the score is generated (P)'!$B$4:$I$73,3,0)="ü",$S20,0)</f>
        <v>0</v>
      </c>
      <c r="BZ20" s="145">
        <f>IF(OR($M20=0,$N20=2),0,IF(VLOOKUP($H20,'How the score is generated (P)'!$B$4:$I$73,3,0)="ü",2,0))</f>
        <v>0</v>
      </c>
      <c r="CA20" s="35">
        <f>IF(VLOOKUP($H20,'How the score is generated (P)'!$B$4:$I$73,4,0)="ü",$Q20,0)</f>
        <v>0</v>
      </c>
      <c r="CB20" s="36">
        <f>IF(VLOOKUP($H20,'How the score is generated (P)'!$B$4:$I$73,4,0)="ü",$S20,0)</f>
        <v>0</v>
      </c>
      <c r="CC20" s="145">
        <f>IF(OR($M20=0,$N20=2),0,IF(VLOOKUP($H20,'How the score is generated (P)'!$B$4:$I$73,4,0)="ü",2,0))</f>
        <v>0</v>
      </c>
      <c r="CD20" s="35">
        <f>IF(VLOOKUP($H20,'How the score is generated (P)'!$B$4:$I$73,5,0)="ü",$Q20,0)</f>
        <v>0</v>
      </c>
      <c r="CE20" s="36">
        <f>IF(VLOOKUP($H20,'How the score is generated (P)'!$B$4:$I$73,5,0)="ü",$S20,0)</f>
        <v>0</v>
      </c>
      <c r="CF20" s="145">
        <f>IF(OR($M20=0,$N20=2),0,IF(VLOOKUP($H20,'How the score is generated (P)'!$B$4:$I$73,5,0)="ü",2,0))</f>
        <v>0</v>
      </c>
      <c r="CG20" s="35">
        <f>IF(VLOOKUP($H20,'How the score is generated (P)'!$B$4:$I$73,6,0)="ü",$Q20,0)</f>
        <v>0</v>
      </c>
      <c r="CH20" s="36">
        <f>IF(VLOOKUP($H20,'How the score is generated (P)'!$B$4:$I$73,6,0)="ü",$S20,0)</f>
        <v>0</v>
      </c>
      <c r="CI20" s="145">
        <f>IF(OR($M20=0,$N20=2),0,IF(VLOOKUP($H20,'How the score is generated (P)'!$B$4:$I$73,6,0)="ü",2,0))</f>
        <v>0</v>
      </c>
      <c r="CJ20" s="35">
        <f>IF(VLOOKUP($H20,'How the score is generated (P)'!$B$4:$I$73,7,0)="ü",$Q20,0)</f>
        <v>0</v>
      </c>
      <c r="CK20" s="36">
        <f>IF(VLOOKUP($H20,'How the score is generated (P)'!$B$4:$I$73,7,0)="ü",$S20,0)</f>
        <v>0</v>
      </c>
      <c r="CL20" s="145">
        <f>IF(OR($M20=0,$N20=2),0,IF(VLOOKUP($H20,'How the score is generated (P)'!$B$4:$I$73,7,0)="ü",2,0))</f>
        <v>0</v>
      </c>
      <c r="CM20" s="35">
        <f>IF(VLOOKUP($H20,'How the score is generated (P)'!$B$4:$I$73,8,0)="ü",$Q20,0)</f>
        <v>0</v>
      </c>
      <c r="CN20" s="36">
        <f>IF(VLOOKUP($H20,'How the score is generated (P)'!$B$4:$I$73,8,0)="ü",$S20,0)</f>
        <v>0</v>
      </c>
      <c r="CO20" s="145">
        <f>IF(OR($M20=0,$N20=2),0,IF(VLOOKUP($H20,'How the score is generated (P)'!$B$4:$I$73,8,0)="ü",2,0))</f>
        <v>0</v>
      </c>
      <c r="CP20" s="300" t="s">
        <v>1098</v>
      </c>
    </row>
    <row r="21" spans="1:94" ht="146.5" customHeight="1" thickBot="1" x14ac:dyDescent="0.4">
      <c r="A21" s="23"/>
      <c r="B21" s="31"/>
      <c r="C21" s="43" t="str">
        <f>Validation!$S$3</f>
        <v xml:space="preserve">Group 2. Pedestrian crossings (junction and mid-link) </v>
      </c>
      <c r="D21" s="164">
        <f>D20+1</f>
        <v>11</v>
      </c>
      <c r="E21" s="44" t="s">
        <v>39</v>
      </c>
      <c r="F21" s="38" t="s">
        <v>43</v>
      </c>
      <c r="G21" s="177" t="s">
        <v>1286</v>
      </c>
      <c r="H21" s="178" t="s">
        <v>1288</v>
      </c>
      <c r="I21" s="438" t="s">
        <v>896</v>
      </c>
      <c r="J21" s="178" t="s">
        <v>1287</v>
      </c>
      <c r="K21" s="178" t="s">
        <v>1284</v>
      </c>
      <c r="L21" s="180" t="s">
        <v>1289</v>
      </c>
      <c r="M21" s="170">
        <f>IF(Project!$B$27="Off-Street",0,1)</f>
        <v>1</v>
      </c>
      <c r="N21" s="425">
        <f t="shared" si="0"/>
        <v>0</v>
      </c>
      <c r="O21" s="237"/>
      <c r="P21" s="144"/>
      <c r="Q21" s="441">
        <f>IF(OR($M21=0,$O21="N/A"),"NA",VLOOKUP($O21,Validation!$D$2:$E$7,2,0))</f>
        <v>0</v>
      </c>
      <c r="R21" s="129">
        <f t="shared" si="1"/>
        <v>2</v>
      </c>
      <c r="S21" s="441">
        <f>IF(OR($M21=0,$P21="N/A"),"NA",VLOOKUP($P21,Validation!$D$2:$E$7,2,0))</f>
        <v>0</v>
      </c>
      <c r="T21" s="34">
        <f t="shared" si="2"/>
        <v>2</v>
      </c>
      <c r="U21" s="35">
        <f>IF(VLOOKUP($H21,'How the score is generated'!$B$4:$I$73,2,0)="ü",$Q21,0)</f>
        <v>0</v>
      </c>
      <c r="V21" s="36">
        <f>IF(VLOOKUP($H21,'How the score is generated'!$B$4:$I$73,2,0)="ü",$S21,0)</f>
        <v>0</v>
      </c>
      <c r="W21" s="145">
        <f>IF(OR($M21=0,$N21=2),0,IF(VLOOKUP($H21,'How the score is generated'!$B$4:$I$73,2,0)="ü",2,0))</f>
        <v>0</v>
      </c>
      <c r="X21" s="35">
        <f>IF(VLOOKUP($H21,'How the score is generated'!$B$4:$I$73,3,0)="ü",$Q21,0)</f>
        <v>0</v>
      </c>
      <c r="Y21" s="36">
        <f>IF(VLOOKUP($H21,'How the score is generated'!$B$4:$I$73,3,0)="ü",$S21,0)</f>
        <v>0</v>
      </c>
      <c r="Z21" s="145">
        <f>IF(OR($M21=0,$N21=2),0,IF(VLOOKUP($H21,'How the score is generated'!$B$4:$I$73,3,0)="ü",2,0))</f>
        <v>2</v>
      </c>
      <c r="AA21" s="35">
        <f>IF(VLOOKUP($H21,'How the score is generated'!$B$4:$I$73,4,0)="ü",$Q21,0)</f>
        <v>0</v>
      </c>
      <c r="AB21" s="36">
        <f>IF(VLOOKUP($H21,'How the score is generated'!$B$4:$I$73,4,0)="ü",$S21,0)</f>
        <v>0</v>
      </c>
      <c r="AC21" s="145">
        <f>IF(OR($M21=0,$N21=2),0,IF(VLOOKUP($H21,'How the score is generated'!$B$4:$I$73,4,0)="ü",2,0))</f>
        <v>0</v>
      </c>
      <c r="AD21" s="35">
        <f>IF(VLOOKUP($H21,'How the score is generated'!$B$4:$I$73,5,0)="ü",$Q21,0)</f>
        <v>0</v>
      </c>
      <c r="AE21" s="36">
        <f>IF(VLOOKUP($H21,'How the score is generated'!$B$4:$I$73,5,0)="ü",$S21,0)</f>
        <v>0</v>
      </c>
      <c r="AF21" s="145">
        <f>IF(OR($M21=0,$N21=2),0,IF(VLOOKUP($H21,'How the score is generated'!$B$4:$I$73,5,0)="ü",2,0))</f>
        <v>0</v>
      </c>
      <c r="AG21" s="35">
        <f>IF(VLOOKUP($H21,'How the score is generated'!$B$4:$I$73,6,0)="ü",$Q21,0)</f>
        <v>0</v>
      </c>
      <c r="AH21" s="36">
        <f>IF(VLOOKUP($H21,'How the score is generated'!$B$4:$I$73,6,0)="ü",$S21,0)</f>
        <v>0</v>
      </c>
      <c r="AI21" s="145">
        <f>IF(OR($M21=0,$N21=2),0,IF(VLOOKUP($H21,'How the score is generated'!$B$4:$I$73,6,0)="ü",2,0))</f>
        <v>0</v>
      </c>
      <c r="AJ21" s="35">
        <f>IF(VLOOKUP($H21,'How the score is generated'!$B$4:$I$73,7,0)="ü",$Q21,0)</f>
        <v>0</v>
      </c>
      <c r="AK21" s="36">
        <f>IF(VLOOKUP($H21,'How the score is generated'!$B$4:$I$73,7,0)="ü",$S21,0)</f>
        <v>0</v>
      </c>
      <c r="AL21" s="145">
        <f>IF(OR($M21=0,$N21=2),0,IF(VLOOKUP($H21,'How the score is generated'!$B$4:$I$73,7,0)="ü",2,0))</f>
        <v>0</v>
      </c>
      <c r="AM21" s="35">
        <f>IF(VLOOKUP($H21,'How the score is generated'!$B$4:$I$73,8,0)="ü",$Q21,0)</f>
        <v>0</v>
      </c>
      <c r="AN21" s="36">
        <f>IF(VLOOKUP($H21,'How the score is generated'!$B$4:$I$73,8,0)="ü",$S21,0)</f>
        <v>0</v>
      </c>
      <c r="AO21" s="145">
        <f>IF(OR($M21=0,$N21=2),0,IF(VLOOKUP($H21,'How the score is generated'!$B$4:$I$73,8,0)="ü",2,0))</f>
        <v>0</v>
      </c>
      <c r="AP21" s="23"/>
      <c r="AQ21" s="688" t="s">
        <v>1285</v>
      </c>
      <c r="AR21" s="70"/>
      <c r="AS21" s="146"/>
      <c r="AW21" s="34"/>
      <c r="AX21" s="34" t="str">
        <f t="shared" si="3"/>
        <v/>
      </c>
      <c r="AY21" s="34" t="str">
        <f t="shared" si="4"/>
        <v/>
      </c>
      <c r="AZ21" s="34"/>
      <c r="BA21" s="34" t="str">
        <f t="shared" si="5"/>
        <v>11. Undulating footways and cycle tracks at vehicle crossovers.
Footway crossfalls.</v>
      </c>
      <c r="BB21" s="35">
        <f>IF(VLOOKUP($H21,'How the score is generated (H)'!$B$4:$H$73,2,0)="ü",$Q21,0)</f>
        <v>0</v>
      </c>
      <c r="BC21" s="36">
        <f>IF(VLOOKUP($H21,'How the score is generated (H)'!$B$4:$H$73,2,0)="ü",$S21,0)</f>
        <v>0</v>
      </c>
      <c r="BD21" s="145">
        <f>IF(OR($M21=0,$N21=2),0,IF(VLOOKUP($H21,'How the score is generated (H)'!$B$4:$H$73,2,0)="ü",2,0))</f>
        <v>2</v>
      </c>
      <c r="BE21" s="35">
        <f>IF(VLOOKUP($H21,'How the score is generated (H)'!$B$4:$H$73,3,0)="ü",$Q21,0)</f>
        <v>0</v>
      </c>
      <c r="BF21" s="36">
        <f>IF(VLOOKUP($H21,'How the score is generated (H)'!$B$4:$H$73,3,0)="ü",$S21,0)</f>
        <v>0</v>
      </c>
      <c r="BG21" s="145">
        <f>IF(OR($M21=0,$N21=2),0,IF(VLOOKUP($H21,'How the score is generated (H)'!$B$4:$H$73,3,0)="ü",2,0))</f>
        <v>2</v>
      </c>
      <c r="BH21" s="35">
        <f>IF(VLOOKUP($H21,'How the score is generated (H)'!$B$4:$H$73,4,0)="ü",$Q21,0)</f>
        <v>0</v>
      </c>
      <c r="BI21" s="36">
        <f>IF(VLOOKUP($H21,'How the score is generated (H)'!$B$4:$H$73,4,0)="ü",$S21,0)</f>
        <v>0</v>
      </c>
      <c r="BJ21" s="145">
        <f>IF(OR($M21=0,$N21=2),0,IF(VLOOKUP($H21,'How the score is generated (H)'!$B$4:$H$73,4,0)="ü",2,0))</f>
        <v>0</v>
      </c>
      <c r="BK21" s="35">
        <f>IF(VLOOKUP($H21,'How the score is generated (H)'!$B$4:$H$73,5,0)="ü",$Q21,0)</f>
        <v>0</v>
      </c>
      <c r="BL21" s="36">
        <f>IF(VLOOKUP($H21,'How the score is generated (H)'!$B$4:$H$73,5,0)="ü",$S21,0)</f>
        <v>0</v>
      </c>
      <c r="BM21" s="145">
        <f>IF(OR($M21=0,$N21=2),0,IF(VLOOKUP($H21,'How the score is generated (H)'!$B$4:$H$73,5,0)="ü",2,0))</f>
        <v>0</v>
      </c>
      <c r="BN21" s="35">
        <f>IF(VLOOKUP($H21,'How the score is generated (H)'!$B$4:$H$73,6,0)="ü",$Q21,0)</f>
        <v>0</v>
      </c>
      <c r="BO21" s="36">
        <f>IF(VLOOKUP($H21,'How the score is generated (H)'!$B$4:$H$73,6,0)="ü",$S21,0)</f>
        <v>0</v>
      </c>
      <c r="BP21" s="145">
        <f>IF(OR($M21=0,$N21=2),0,IF(VLOOKUP($H21,'How the score is generated (H)'!$B$4:$H$73,6,0)="ü",2,0))</f>
        <v>2</v>
      </c>
      <c r="BQ21" s="35">
        <f>IF(VLOOKUP($H21,'How the score is generated (H)'!$B$4:$H$73,7,0)="ü",$Q21,0)</f>
        <v>0</v>
      </c>
      <c r="BR21" s="36">
        <f>IF(VLOOKUP($H21,'How the score is generated (H)'!$B$4:$H$73,7,0)="ü",$S21,0)</f>
        <v>0</v>
      </c>
      <c r="BS21" s="145">
        <f>IF(OR($M21=0,$N21=2),0,IF(VLOOKUP($H21,'How the score is generated (H)'!$B$4:$H$73,7,0)="ü",2,0))</f>
        <v>0</v>
      </c>
      <c r="BT21" s="23"/>
      <c r="BU21" s="35">
        <f>IF(VLOOKUP($H21,'How the score is generated (P)'!$B$4:$I$73,2,0)="ü",$Q21,0)</f>
        <v>0</v>
      </c>
      <c r="BV21" s="36">
        <f>IF(VLOOKUP($H21,'How the score is generated (P)'!$B$4:$I$73,2,0)="ü",$S21,0)</f>
        <v>0</v>
      </c>
      <c r="BW21" s="145">
        <f>IF(OR($M21=0,$N21=2),0,IF(VLOOKUP($H21,'How the score is generated (P)'!$B$4:$I$73,2,0)="ü",2,0))</f>
        <v>0</v>
      </c>
      <c r="BX21" s="35">
        <f>IF(VLOOKUP($H21,'How the score is generated (P)'!$B$4:$I$73,3,0)="ü",$Q21,0)</f>
        <v>0</v>
      </c>
      <c r="BY21" s="36">
        <f>IF(VLOOKUP($H21,'How the score is generated (P)'!$B$4:$I$73,3,0)="ü",$S21,0)</f>
        <v>0</v>
      </c>
      <c r="BZ21" s="145">
        <f>IF(OR($M21=0,$N21=2),0,IF(VLOOKUP($H21,'How the score is generated (P)'!$B$4:$I$73,3,0)="ü",2,0))</f>
        <v>0</v>
      </c>
      <c r="CA21" s="35">
        <f>IF(VLOOKUP($H21,'How the score is generated (P)'!$B$4:$I$73,4,0)="ü",$Q21,0)</f>
        <v>0</v>
      </c>
      <c r="CB21" s="36">
        <f>IF(VLOOKUP($H21,'How the score is generated (P)'!$B$4:$I$73,4,0)="ü",$S21,0)</f>
        <v>0</v>
      </c>
      <c r="CC21" s="145">
        <f>IF(OR($M21=0,$N21=2),0,IF(VLOOKUP($H21,'How the score is generated (P)'!$B$4:$I$73,4,0)="ü",2,0))</f>
        <v>0</v>
      </c>
      <c r="CD21" s="35">
        <f>IF(VLOOKUP($H21,'How the score is generated (P)'!$B$4:$I$73,5,0)="ü",$Q21,0)</f>
        <v>0</v>
      </c>
      <c r="CE21" s="36">
        <f>IF(VLOOKUP($H21,'How the score is generated (P)'!$B$4:$I$73,5,0)="ü",$S21,0)</f>
        <v>0</v>
      </c>
      <c r="CF21" s="145">
        <f>IF(OR($M21=0,$N21=2),0,IF(VLOOKUP($H21,'How the score is generated (P)'!$B$4:$I$73,5,0)="ü",2,0))</f>
        <v>2</v>
      </c>
      <c r="CG21" s="35">
        <f>IF(VLOOKUP($H21,'How the score is generated (P)'!$B$4:$I$73,6,0)="ü",$Q21,0)</f>
        <v>0</v>
      </c>
      <c r="CH21" s="36">
        <f>IF(VLOOKUP($H21,'How the score is generated (P)'!$B$4:$I$73,6,0)="ü",$S21,0)</f>
        <v>0</v>
      </c>
      <c r="CI21" s="145">
        <f>IF(OR($M21=0,$N21=2),0,IF(VLOOKUP($H21,'How the score is generated (P)'!$B$4:$I$73,6,0)="ü",2,0))</f>
        <v>2</v>
      </c>
      <c r="CJ21" s="35">
        <f>IF(VLOOKUP($H21,'How the score is generated (P)'!$B$4:$I$73,7,0)="ü",$Q21,0)</f>
        <v>0</v>
      </c>
      <c r="CK21" s="36">
        <f>IF(VLOOKUP($H21,'How the score is generated (P)'!$B$4:$I$73,7,0)="ü",$S21,0)</f>
        <v>0</v>
      </c>
      <c r="CL21" s="145">
        <f>IF(OR($M21=0,$N21=2),0,IF(VLOOKUP($H21,'How the score is generated (P)'!$B$4:$I$73,7,0)="ü",2,0))</f>
        <v>2</v>
      </c>
      <c r="CM21" s="35">
        <f>IF(VLOOKUP($H21,'How the score is generated (P)'!$B$4:$I$73,8,0)="ü",$Q21,0)</f>
        <v>0</v>
      </c>
      <c r="CN21" s="36">
        <f>IF(VLOOKUP($H21,'How the score is generated (P)'!$B$4:$I$73,8,0)="ü",$S21,0)</f>
        <v>0</v>
      </c>
      <c r="CO21" s="145">
        <f>IF(OR($M21=0,$N21=2),0,IF(VLOOKUP($H21,'How the score is generated (P)'!$B$4:$I$73,8,0)="ü",2,0))</f>
        <v>0</v>
      </c>
      <c r="CP21" s="300"/>
    </row>
    <row r="22" spans="1:94" ht="15" hidden="1" thickBot="1" x14ac:dyDescent="0.4">
      <c r="A22" s="23"/>
      <c r="B22" s="31"/>
      <c r="C22" s="47"/>
      <c r="D22" s="47"/>
      <c r="E22" s="47"/>
      <c r="F22" s="47"/>
      <c r="G22" s="171" t="s">
        <v>1017</v>
      </c>
      <c r="H22" s="172"/>
      <c r="I22" s="172"/>
      <c r="J22" s="172"/>
      <c r="K22" s="172"/>
      <c r="L22" s="440"/>
      <c r="M22" s="48"/>
      <c r="N22" s="48"/>
      <c r="O22" s="49" t="str">
        <f>Q22&amp;"/"&amp;R22</f>
        <v>0/12</v>
      </c>
      <c r="P22" s="50" t="str">
        <f>S22&amp;"/"&amp;T22</f>
        <v>0/12</v>
      </c>
      <c r="Q22" s="51">
        <f>SUM(Q16:Q21)</f>
        <v>0</v>
      </c>
      <c r="R22" s="51">
        <f>SUM(R16:R21)</f>
        <v>12</v>
      </c>
      <c r="S22" s="51">
        <f>SUM(S16:S21)</f>
        <v>0</v>
      </c>
      <c r="T22" s="51">
        <f>SUM(T16:T21)</f>
        <v>12</v>
      </c>
      <c r="U22" s="31"/>
      <c r="V22" s="56"/>
      <c r="W22" s="56"/>
      <c r="X22" s="31"/>
      <c r="Y22" s="56"/>
      <c r="Z22" s="56"/>
      <c r="AA22" s="31"/>
      <c r="AB22" s="56"/>
      <c r="AC22" s="56"/>
      <c r="AD22" s="31"/>
      <c r="AE22" s="56"/>
      <c r="AF22" s="56"/>
      <c r="AG22" s="31"/>
      <c r="AH22" s="56"/>
      <c r="AI22" s="56"/>
      <c r="AJ22" s="31"/>
      <c r="AK22" s="56"/>
      <c r="AL22" s="56"/>
      <c r="AM22" s="31"/>
      <c r="AN22" s="56"/>
      <c r="AO22" s="56"/>
      <c r="AP22" s="23"/>
      <c r="AQ22" s="76"/>
      <c r="AR22" s="23"/>
      <c r="AS22" s="321"/>
      <c r="AW22" s="51"/>
      <c r="AX22" s="51"/>
      <c r="AY22" s="51"/>
      <c r="AZ22" s="51"/>
      <c r="BA22" s="51"/>
      <c r="BB22" s="31"/>
      <c r="BC22" s="56"/>
      <c r="BD22" s="56"/>
      <c r="BE22" s="31"/>
      <c r="BF22" s="56"/>
      <c r="BG22" s="56"/>
      <c r="BH22" s="31"/>
      <c r="BI22" s="56"/>
      <c r="BJ22" s="56"/>
      <c r="BK22" s="31"/>
      <c r="BL22" s="56"/>
      <c r="BM22" s="56"/>
      <c r="BN22" s="31"/>
      <c r="BO22" s="56"/>
      <c r="BP22" s="145">
        <f>IF(OR($M22=0,$N22=2),0,IF(VLOOKUP($H22,'How the score is generated (H)'!$B$4:$H$73,6,0)="ü",2,0))</f>
        <v>0</v>
      </c>
      <c r="BQ22" s="31"/>
      <c r="BR22" s="56"/>
      <c r="BS22" s="145">
        <f>IF(OR($M22=0,$N22=2),0,IF(VLOOKUP($H22,'How the score is generated (H)'!$B$4:$H$73,7,0)="ü",2,0))</f>
        <v>0</v>
      </c>
      <c r="BT22" s="23"/>
      <c r="BU22" s="31"/>
      <c r="BV22" s="56"/>
      <c r="BW22" s="145">
        <f>IF(OR($M22=0,$N22=2),0,IF(VLOOKUP($H22,'How the score is generated (P)'!$B$4:$I$73,2,0)="ü",2,0))</f>
        <v>0</v>
      </c>
      <c r="BX22" s="31"/>
      <c r="BY22" s="56"/>
      <c r="BZ22" s="145">
        <f>IF(OR($M22=0,$N22=2),0,IF(VLOOKUP($H22,'How the score is generated (P)'!$B$4:$I$73,3,0)="ü",2,0))</f>
        <v>0</v>
      </c>
      <c r="CA22" s="31"/>
      <c r="CB22" s="56"/>
      <c r="CC22" s="145">
        <f>IF(OR($M22=0,$N22=2),0,IF(VLOOKUP($H22,'How the score is generated (P)'!$B$4:$I$73,4,0)="ü",2,0))</f>
        <v>0</v>
      </c>
      <c r="CD22" s="31"/>
      <c r="CE22" s="56"/>
      <c r="CF22" s="145">
        <f>IF(OR($M22=0,$N22=2),0,IF(VLOOKUP($H22,'How the score is generated (P)'!$B$4:$I$73,5,0)="ü",2,0))</f>
        <v>0</v>
      </c>
      <c r="CG22" s="31"/>
      <c r="CH22" s="56"/>
      <c r="CI22" s="145">
        <f>IF(OR($M22=0,$N22=2),0,IF(VLOOKUP($H22,'How the score is generated (P)'!$B$4:$I$73,6,0)="ü",2,0))</f>
        <v>0</v>
      </c>
      <c r="CJ22" s="31"/>
      <c r="CK22" s="31"/>
      <c r="CL22" s="31"/>
      <c r="CM22" s="31"/>
      <c r="CN22" s="31"/>
      <c r="CO22" s="31"/>
    </row>
    <row r="23" spans="1:94" ht="21.5" thickBot="1" x14ac:dyDescent="0.4">
      <c r="A23" s="23"/>
      <c r="B23" s="57"/>
      <c r="C23" s="58"/>
      <c r="D23" s="58"/>
      <c r="E23" s="58"/>
      <c r="F23" s="58"/>
      <c r="G23" s="59"/>
      <c r="H23" s="59"/>
      <c r="I23" s="60"/>
      <c r="J23" s="61"/>
      <c r="K23" s="61"/>
      <c r="L23" s="61"/>
      <c r="M23" s="61"/>
      <c r="N23" s="61"/>
      <c r="O23" s="61"/>
      <c r="P23" s="61"/>
      <c r="Q23" s="61"/>
      <c r="R23" s="61"/>
      <c r="S23" s="61"/>
      <c r="T23" s="61"/>
      <c r="U23" s="54"/>
      <c r="V23" s="23"/>
      <c r="W23" s="23"/>
      <c r="X23" s="54"/>
      <c r="Y23" s="23"/>
      <c r="Z23" s="23"/>
      <c r="AA23" s="54"/>
      <c r="AB23" s="23"/>
      <c r="AC23" s="23"/>
      <c r="AD23" s="54"/>
      <c r="AE23" s="23"/>
      <c r="AF23" s="23"/>
      <c r="AG23" s="54"/>
      <c r="AH23" s="23"/>
      <c r="AI23" s="23"/>
      <c r="AJ23" s="54"/>
      <c r="AK23" s="23"/>
      <c r="AL23" s="23"/>
      <c r="AM23" s="54"/>
      <c r="AN23" s="23"/>
      <c r="AO23" s="23"/>
      <c r="AP23" s="23"/>
      <c r="AQ23" s="76"/>
      <c r="AR23" s="23"/>
      <c r="AS23" s="321"/>
      <c r="AW23" s="61"/>
      <c r="AX23" s="61"/>
      <c r="AY23" s="61"/>
      <c r="AZ23" s="61"/>
      <c r="BA23" s="61"/>
      <c r="BB23" s="54"/>
      <c r="BC23" s="23"/>
      <c r="BD23" s="23"/>
      <c r="BE23" s="54"/>
      <c r="BF23" s="23"/>
      <c r="BG23" s="23"/>
      <c r="BH23" s="54"/>
      <c r="BI23" s="23"/>
      <c r="BJ23" s="23"/>
      <c r="BK23" s="54"/>
      <c r="BL23" s="23"/>
      <c r="BM23" s="23"/>
      <c r="BN23" s="54"/>
      <c r="BO23" s="23"/>
      <c r="BP23" s="23"/>
      <c r="BQ23" s="54"/>
      <c r="BR23" s="23"/>
      <c r="BS23" s="23"/>
      <c r="BT23" s="23"/>
      <c r="BU23" s="54"/>
      <c r="BV23" s="23"/>
      <c r="BW23" s="23"/>
      <c r="BX23" s="54"/>
      <c r="BY23" s="23"/>
      <c r="BZ23" s="23"/>
      <c r="CA23" s="54"/>
      <c r="CB23" s="23"/>
      <c r="CC23" s="23"/>
      <c r="CD23" s="54"/>
      <c r="CE23" s="23"/>
      <c r="CF23" s="23"/>
      <c r="CG23" s="54"/>
      <c r="CH23" s="23"/>
      <c r="CI23" s="23"/>
      <c r="CJ23" s="54"/>
      <c r="CK23" s="54"/>
      <c r="CL23" s="54"/>
      <c r="CM23" s="54"/>
      <c r="CN23" s="54"/>
      <c r="CO23" s="54"/>
    </row>
    <row r="24" spans="1:94" ht="19" thickBot="1" x14ac:dyDescent="0.4">
      <c r="A24" s="23"/>
      <c r="B24" s="62"/>
      <c r="C24" s="63"/>
      <c r="D24" s="63"/>
      <c r="E24" s="63"/>
      <c r="F24" s="63"/>
      <c r="G24" s="522" t="s">
        <v>1151</v>
      </c>
      <c r="H24" s="522"/>
      <c r="I24" s="522"/>
      <c r="J24" s="522"/>
      <c r="K24" s="522"/>
      <c r="L24" s="522"/>
      <c r="M24" s="28"/>
      <c r="N24" s="28"/>
      <c r="O24" s="29" t="s">
        <v>32</v>
      </c>
      <c r="P24" s="29" t="s">
        <v>33</v>
      </c>
      <c r="Q24" s="30"/>
      <c r="R24" s="30"/>
      <c r="S24" s="30"/>
      <c r="T24" s="30"/>
      <c r="U24" s="54"/>
      <c r="V24" s="23"/>
      <c r="W24" s="23"/>
      <c r="X24" s="54"/>
      <c r="Y24" s="23"/>
      <c r="Z24" s="23"/>
      <c r="AA24" s="54"/>
      <c r="AB24" s="23"/>
      <c r="AC24" s="23"/>
      <c r="AD24" s="54"/>
      <c r="AE24" s="23"/>
      <c r="AF24" s="23"/>
      <c r="AG24" s="54"/>
      <c r="AH24" s="23"/>
      <c r="AI24" s="23"/>
      <c r="AJ24" s="54"/>
      <c r="AK24" s="23"/>
      <c r="AL24" s="23"/>
      <c r="AM24" s="54"/>
      <c r="AN24" s="23"/>
      <c r="AO24" s="23"/>
      <c r="AP24" s="23"/>
      <c r="AQ24" s="76"/>
      <c r="AR24" s="23"/>
      <c r="AS24" s="321"/>
      <c r="AW24" s="30"/>
      <c r="AX24" s="30"/>
      <c r="AY24" s="30"/>
      <c r="AZ24" s="30"/>
      <c r="BA24" s="30"/>
      <c r="BB24" s="54"/>
      <c r="BC24" s="23"/>
      <c r="BD24" s="23"/>
      <c r="BE24" s="54"/>
      <c r="BF24" s="23"/>
      <c r="BG24" s="23"/>
      <c r="BH24" s="54"/>
      <c r="BI24" s="23"/>
      <c r="BJ24" s="23"/>
      <c r="BK24" s="54"/>
      <c r="BL24" s="23"/>
      <c r="BM24" s="23"/>
      <c r="BN24" s="54"/>
      <c r="BO24" s="23"/>
      <c r="BP24" s="23"/>
      <c r="BQ24" s="54"/>
      <c r="BR24" s="23"/>
      <c r="BS24" s="23"/>
      <c r="BT24" s="23"/>
      <c r="BU24" s="54"/>
      <c r="BV24" s="23"/>
      <c r="BW24" s="23"/>
      <c r="BX24" s="54"/>
      <c r="BY24" s="23"/>
      <c r="BZ24" s="23"/>
      <c r="CA24" s="54"/>
      <c r="CB24" s="23"/>
      <c r="CC24" s="23"/>
      <c r="CD24" s="54"/>
      <c r="CE24" s="23"/>
      <c r="CF24" s="23"/>
      <c r="CG24" s="54"/>
      <c r="CH24" s="23"/>
      <c r="CI24" s="23"/>
      <c r="CJ24" s="54"/>
      <c r="CK24" s="54"/>
      <c r="CL24" s="54"/>
      <c r="CM24" s="54"/>
      <c r="CN24" s="54"/>
      <c r="CO24" s="54"/>
    </row>
    <row r="25" spans="1:94" ht="104.5" thickBot="1" x14ac:dyDescent="0.4">
      <c r="A25" s="23"/>
      <c r="B25" s="31"/>
      <c r="C25" s="32" t="str">
        <f>Validation!$S$4</f>
        <v xml:space="preserve">Group 3. Footway (incl. shared use) </v>
      </c>
      <c r="D25" s="163">
        <f>D21+1</f>
        <v>12</v>
      </c>
      <c r="E25" s="33" t="s">
        <v>39</v>
      </c>
      <c r="F25" s="197" t="s">
        <v>43</v>
      </c>
      <c r="G25" s="173" t="s">
        <v>73</v>
      </c>
      <c r="H25" s="174" t="s">
        <v>563</v>
      </c>
      <c r="I25" s="175" t="s">
        <v>869</v>
      </c>
      <c r="J25" s="230" t="e" cm="1">
        <f t="array" ref="J25">_xlfn.IFS(Project!$B$23 = "Neighbourhood",Validation!T$2,Project!$B$23="Local Connector Street",Validation!T$3, Project!$B$23= "Connector Street",Validation!T$4, Project!$B$23= "Multi-lane Connector Street", Validation!T$5, Project!$B$23="Pedestrianised High Street",Validation!T$6, Project!$B$23="High Street",Validation!T$7,Project!$B$23="High Road",Validation!T$8,Project!$B$23="Destination Places and Gateways",Validation!T$9)</f>
        <v>#N/A</v>
      </c>
      <c r="K25" s="230" t="e" cm="1">
        <f t="array" ref="K25">_xlfn.IFS(Project!$B$23 = "Neighbourhood",Validation!U$2,Project!$B$23="Local Connector Street",Validation!U$3, Project!$B$23= "Connector Street",Validation!U$4, Project!$B$23= "Multi-lane Connector Street", Validation!U$5, Project!$B$23="Pedestrianised High Street",Validation!U$6, Project!$B$23="High Street",Validation!U$7,Project!$B$23="High Road",Validation!U$8,Project!$B$23="Destination Places and Gateways",Validation!U$9)</f>
        <v>#N/A</v>
      </c>
      <c r="L25" s="454" t="e" cm="1">
        <f t="array" ref="L25">_xlfn.IFS(Project!$B$23 = "Neighbourhood",Validation!V$2,Project!$B$23="Local Connector Street",Validation!V$3, Project!$B$23= "Connector Street",Validation!V$4, Project!$B$23= "Multi-lane Connector Street", Validation!V$5, Project!$B$23="Pedestrianised High Street",Validation!V$6, Project!$B$23="High Street",Validation!V$7,Project!$B$23="High Road",Validation!V$8,Project!$B$23="Destination Places and Gateways",Validation!V$9)</f>
        <v>#N/A</v>
      </c>
      <c r="M25" s="170">
        <f>IF(Project!$B$27="Off-Street",0,1)</f>
        <v>1</v>
      </c>
      <c r="N25" s="425">
        <f t="shared" ref="N25:N31" si="6">IF(AND(O25="N/A",P25="N/A"),2,0)</f>
        <v>0</v>
      </c>
      <c r="O25" s="143"/>
      <c r="P25" s="143"/>
      <c r="Q25" s="441">
        <f>IF(OR($M25=0,$O25="N/A"),"NA",VLOOKUP($O25,Validation!$D$2:$E$7,2,0))</f>
        <v>0</v>
      </c>
      <c r="R25" s="129">
        <f t="shared" ref="R25:R31" si="7">IF(OR($M25=0,$O25="N/A"),0,2)</f>
        <v>2</v>
      </c>
      <c r="S25" s="441">
        <f>IF(OR($M25=0,$P25="N/A"),"NA",VLOOKUP($P25,Validation!$D$2:$E$7,2,0))</f>
        <v>0</v>
      </c>
      <c r="T25" s="34">
        <f t="shared" ref="T25:T31" si="8">IF(OR($M25=0,$P25="N/A"),0,2)</f>
        <v>2</v>
      </c>
      <c r="U25" s="35">
        <f>IF(VLOOKUP($H25,'How the score is generated'!$B$4:$I$73,2,0)="ü",$Q25,0)</f>
        <v>0</v>
      </c>
      <c r="V25" s="36">
        <f>IF(VLOOKUP($H25,'How the score is generated'!$B$4:$I$73,2,0)="ü",$S25,0)</f>
        <v>0</v>
      </c>
      <c r="W25" s="145">
        <f>IF(OR($M25=0,$N25=2),0,IF(VLOOKUP($H25,'How the score is generated'!$B$4:$I$73,2,0)="ü",2,0))</f>
        <v>0</v>
      </c>
      <c r="X25" s="35">
        <f>IF(VLOOKUP($H25,'How the score is generated'!$B$4:$I$73,3,0)="ü",$Q25,0)</f>
        <v>0</v>
      </c>
      <c r="Y25" s="36">
        <f>IF(VLOOKUP($H25,'How the score is generated'!$B$4:$I$73,3,0)="ü",$S25,0)</f>
        <v>0</v>
      </c>
      <c r="Z25" s="145">
        <f>IF(OR($M25=0,$N25=2),0,IF(VLOOKUP($H25,'How the score is generated'!$B$4:$I$73,3,0)="ü",2,0))</f>
        <v>2</v>
      </c>
      <c r="AA25" s="35">
        <f>IF(VLOOKUP($H25,'How the score is generated'!$B$4:$I$73,4,0)="ü",$Q25,0)</f>
        <v>0</v>
      </c>
      <c r="AB25" s="36">
        <f>IF(VLOOKUP($H25,'How the score is generated'!$B$4:$I$73,4,0)="ü",$S25,0)</f>
        <v>0</v>
      </c>
      <c r="AC25" s="145">
        <f>IF(OR($M25=0,$N25=2),0,IF(VLOOKUP($H25,'How the score is generated'!$B$4:$I$73,4,0)="ü",2,0))</f>
        <v>0</v>
      </c>
      <c r="AD25" s="35">
        <f>IF(VLOOKUP($H25,'How the score is generated'!$B$4:$I$73,5,0)="ü",$Q25,0)</f>
        <v>0</v>
      </c>
      <c r="AE25" s="36">
        <f>IF(VLOOKUP($H25,'How the score is generated'!$B$4:$I$73,5,0)="ü",$S25,0)</f>
        <v>0</v>
      </c>
      <c r="AF25" s="145">
        <f>IF(OR($M25=0,$N25=2),0,IF(VLOOKUP($H25,'How the score is generated'!$B$4:$I$73,5,0)="ü",2,0))</f>
        <v>0</v>
      </c>
      <c r="AG25" s="35">
        <f>IF(VLOOKUP($H25,'How the score is generated'!$B$4:$I$73,6,0)="ü",$Q25,0)</f>
        <v>0</v>
      </c>
      <c r="AH25" s="36">
        <f>IF(VLOOKUP($H25,'How the score is generated'!$B$4:$I$73,6,0)="ü",$S25,0)</f>
        <v>0</v>
      </c>
      <c r="AI25" s="145">
        <f>IF(OR($M25=0,$N25=2),0,IF(VLOOKUP($H25,'How the score is generated'!$B$4:$I$73,6,0)="ü",2,0))</f>
        <v>0</v>
      </c>
      <c r="AJ25" s="35">
        <f>IF(VLOOKUP($H25,'How the score is generated'!$B$4:$I$73,7,0)="ü",$Q25,0)</f>
        <v>0</v>
      </c>
      <c r="AK25" s="36">
        <f>IF(VLOOKUP($H25,'How the score is generated'!$B$4:$I$73,7,0)="ü",$S25,0)</f>
        <v>0</v>
      </c>
      <c r="AL25" s="145">
        <f>IF(OR($M25=0,$N25=2),0,IF(VLOOKUP($H25,'How the score is generated'!$B$4:$I$73,7,0)="ü",2,0))</f>
        <v>0</v>
      </c>
      <c r="AM25" s="35">
        <f>IF(VLOOKUP($H25,'How the score is generated'!$B$4:$I$73,8,0)="ü",$Q25,0)</f>
        <v>0</v>
      </c>
      <c r="AN25" s="36">
        <f>IF(VLOOKUP($H25,'How the score is generated'!$B$4:$I$73,8,0)="ü",$S25,0)</f>
        <v>0</v>
      </c>
      <c r="AO25" s="145">
        <f>IF(OR($M25=0,$N25=2),0,IF(VLOOKUP($H25,'How the score is generated'!$B$4:$I$73,8,0)="ü",2,0))</f>
        <v>0</v>
      </c>
      <c r="AP25" s="240"/>
      <c r="AQ25" s="407" t="s">
        <v>1152</v>
      </c>
      <c r="AR25" s="23"/>
      <c r="AS25" s="202"/>
      <c r="AW25" s="34"/>
      <c r="AX25" s="34" t="str">
        <f t="shared" ref="AX25:AX31" si="9">IF(AW25="Amber",IF(S25=0,"Residual Amber",""),"")</f>
        <v/>
      </c>
      <c r="AY25" s="34" t="str">
        <f t="shared" ref="AY25:AY31" si="10">IF(M25=0,"",IF(O25="","",O25))</f>
        <v/>
      </c>
      <c r="AZ25" s="34" t="str">
        <f t="shared" ref="AZ25:AZ31" si="11">IF(M25=0,"",IF(P25="","",P25))</f>
        <v/>
      </c>
      <c r="BA25" s="34" t="str">
        <f t="shared" ref="BA25:BA31" si="12">D25&amp;". "&amp;H25</f>
        <v>12. Clear pedestrian routes that maintain minimum unobstructed width throughout</v>
      </c>
      <c r="BB25" s="35">
        <f>IF(VLOOKUP($H25,'How the score is generated (H)'!$B$4:$H$73,2,0)="ü",$Q25,0)</f>
        <v>0</v>
      </c>
      <c r="BC25" s="36">
        <f>IF(VLOOKUP($H25,'How the score is generated (H)'!$B$4:$H$73,2,0)="ü",$S25,0)</f>
        <v>0</v>
      </c>
      <c r="BD25" s="145">
        <f>IF(OR($M25=0,$N25=2),0,IF(VLOOKUP($H25,'How the score is generated (H)'!$B$4:$H$73,2,0)="ü",2,0))</f>
        <v>2</v>
      </c>
      <c r="BE25" s="35">
        <f>IF(VLOOKUP($H25,'How the score is generated (H)'!$B$4:$H$73,3,0)="ü",$Q25,0)</f>
        <v>0</v>
      </c>
      <c r="BF25" s="36">
        <f>IF(VLOOKUP($H25,'How the score is generated (H)'!$B$4:$H$73,3,0)="ü",$S25,0)</f>
        <v>0</v>
      </c>
      <c r="BG25" s="145">
        <f>IF(OR($M25=0,$N25=2),0,IF(VLOOKUP($H25,'How the score is generated (H)'!$B$4:$H$73,3,0)="ü",2,0))</f>
        <v>2</v>
      </c>
      <c r="BH25" s="35">
        <f>IF(VLOOKUP($H25,'How the score is generated (H)'!$B$4:$H$73,4,0)="ü",$Q25,0)</f>
        <v>0</v>
      </c>
      <c r="BI25" s="36">
        <f>IF(VLOOKUP($H25,'How the score is generated (H)'!$B$4:$H$73,4,0)="ü",$S25,0)</f>
        <v>0</v>
      </c>
      <c r="BJ25" s="145">
        <f>IF(OR($M25=0,$N25=2),0,IF(VLOOKUP($H25,'How the score is generated (H)'!$B$4:$H$73,4,0)="ü",2,0))</f>
        <v>0</v>
      </c>
      <c r="BK25" s="35">
        <f>IF(VLOOKUP($H25,'How the score is generated (H)'!$B$4:$H$73,5,0)="ü",$Q25,0)</f>
        <v>0</v>
      </c>
      <c r="BL25" s="36">
        <f>IF(VLOOKUP($H25,'How the score is generated (H)'!$B$4:$H$73,5,0)="ü",$S25,0)</f>
        <v>0</v>
      </c>
      <c r="BM25" s="145">
        <f>IF(OR($M25=0,$N25=2),0,IF(VLOOKUP($H25,'How the score is generated (H)'!$B$4:$H$73,5,0)="ü",2,0))</f>
        <v>0</v>
      </c>
      <c r="BN25" s="35">
        <f>IF(VLOOKUP($H25,'How the score is generated (H)'!$B$4:$H$73,6,0)="ü",$Q25,0)</f>
        <v>0</v>
      </c>
      <c r="BO25" s="36">
        <f>IF(VLOOKUP($H25,'How the score is generated (H)'!$B$4:$H$73,6,0)="ü",$S25,0)</f>
        <v>0</v>
      </c>
      <c r="BP25" s="145">
        <f>IF(OR($M25=0,$N25=2),0,IF(VLOOKUP($H25,'How the score is generated (H)'!$B$4:$H$73,6,0)="ü",2,0))</f>
        <v>2</v>
      </c>
      <c r="BQ25" s="35">
        <f>IF(VLOOKUP($H25,'How the score is generated (H)'!$B$4:$H$73,7,0)="ü",$Q25,0)</f>
        <v>0</v>
      </c>
      <c r="BR25" s="36">
        <f>IF(VLOOKUP($H25,'How the score is generated (H)'!$B$4:$H$73,7,0)="ü",$S25,0)</f>
        <v>0</v>
      </c>
      <c r="BS25" s="145">
        <f>IF(OR($M25=0,$N25=2),0,IF(VLOOKUP($H25,'How the score is generated (H)'!$B$4:$H$73,7,0)="ü",2,0))</f>
        <v>0</v>
      </c>
      <c r="BT25" s="240"/>
      <c r="BU25" s="35">
        <f>IF(VLOOKUP($H25,'How the score is generated (P)'!$B$4:$I$73,2,0)="ü",$Q25,0)</f>
        <v>0</v>
      </c>
      <c r="BV25" s="36">
        <f>IF(VLOOKUP($H25,'How the score is generated (P)'!$B$4:$I$73,2,0)="ü",$S25,0)</f>
        <v>0</v>
      </c>
      <c r="BW25" s="145">
        <f>IF(OR($M25=0,$N25=2),0,IF(VLOOKUP($H25,'How the score is generated (P)'!$B$4:$I$73,2,0)="ü",2,0))</f>
        <v>0</v>
      </c>
      <c r="BX25" s="35">
        <f>IF(VLOOKUP($H25,'How the score is generated (P)'!$B$4:$I$73,3,0)="ü",$Q25,0)</f>
        <v>0</v>
      </c>
      <c r="BY25" s="36">
        <f>IF(VLOOKUP($H25,'How the score is generated (P)'!$B$4:$I$73,3,0)="ü",$S25,0)</f>
        <v>0</v>
      </c>
      <c r="BZ25" s="145">
        <f>IF(OR($M25=0,$N25=2),0,IF(VLOOKUP($H25,'How the score is generated (P)'!$B$4:$I$73,3,0)="ü",2,0))</f>
        <v>0</v>
      </c>
      <c r="CA25" s="35">
        <f>IF(VLOOKUP($H25,'How the score is generated (P)'!$B$4:$I$73,4,0)="ü",$Q25,0)</f>
        <v>0</v>
      </c>
      <c r="CB25" s="36">
        <f>IF(VLOOKUP($H25,'How the score is generated (P)'!$B$4:$I$73,4,0)="ü",$S25,0)</f>
        <v>0</v>
      </c>
      <c r="CC25" s="145">
        <f>IF(OR($M25=0,$N25=2),0,IF(VLOOKUP($H25,'How the score is generated (P)'!$B$4:$I$73,4,0)="ü",2,0))</f>
        <v>2</v>
      </c>
      <c r="CD25" s="35">
        <f>IF(VLOOKUP($H25,'How the score is generated (P)'!$B$4:$I$73,5,0)="ü",$Q25,0)</f>
        <v>0</v>
      </c>
      <c r="CE25" s="36">
        <f>IF(VLOOKUP($H25,'How the score is generated (P)'!$B$4:$I$73,5,0)="ü",$S25,0)</f>
        <v>0</v>
      </c>
      <c r="CF25" s="145">
        <f>IF(OR($M25=0,$N25=2),0,IF(VLOOKUP($H25,'How the score is generated (P)'!$B$4:$I$73,5,0)="ü",2,0))</f>
        <v>2</v>
      </c>
      <c r="CG25" s="35">
        <f>IF(VLOOKUP($H25,'How the score is generated (P)'!$B$4:$I$73,6,0)="ü",$Q25,0)</f>
        <v>0</v>
      </c>
      <c r="CH25" s="36">
        <f>IF(VLOOKUP($H25,'How the score is generated (P)'!$B$4:$I$73,6,0)="ü",$S25,0)</f>
        <v>0</v>
      </c>
      <c r="CI25" s="145">
        <f>IF(OR($M25=0,$N25=2),0,IF(VLOOKUP($H25,'How the score is generated (P)'!$B$4:$I$73,6,0)="ü",2,0))</f>
        <v>2</v>
      </c>
      <c r="CJ25" s="35">
        <f>IF(VLOOKUP($H25,'How the score is generated (P)'!$B$4:$I$73,7,0)="ü",$Q25,0)</f>
        <v>0</v>
      </c>
      <c r="CK25" s="36">
        <f>IF(VLOOKUP($H25,'How the score is generated (P)'!$B$4:$I$73,7,0)="ü",$S25,0)</f>
        <v>0</v>
      </c>
      <c r="CL25" s="145">
        <f>IF(OR($M25=0,$N25=2),0,IF(VLOOKUP($H25,'How the score is generated (P)'!$B$4:$I$73,7,0)="ü",2,0))</f>
        <v>2</v>
      </c>
      <c r="CM25" s="35">
        <f>IF(VLOOKUP($H25,'How the score is generated (P)'!$B$4:$I$73,8,0)="ü",$Q25,0)</f>
        <v>0</v>
      </c>
      <c r="CN25" s="36">
        <f>IF(VLOOKUP($H25,'How the score is generated (P)'!$B$4:$I$73,8,0)="ü",$S25,0)</f>
        <v>0</v>
      </c>
      <c r="CO25" s="145">
        <f>IF(OR($M25=0,$N25=2),0,IF(VLOOKUP($H25,'How the score is generated (P)'!$B$4:$I$73,8,0)="ü",2,0))</f>
        <v>0</v>
      </c>
      <c r="CP25" s="300" t="s">
        <v>1072</v>
      </c>
    </row>
    <row r="26" spans="1:94" ht="69.5" customHeight="1" thickBot="1" x14ac:dyDescent="0.4">
      <c r="A26" s="23"/>
      <c r="B26" s="64"/>
      <c r="C26" s="65" t="str">
        <f>Validation!$S$4</f>
        <v xml:space="preserve">Group 3. Footway (incl. shared use) </v>
      </c>
      <c r="D26" s="164">
        <f t="shared" ref="D26:D31" si="13">D25+1</f>
        <v>13</v>
      </c>
      <c r="E26" s="44" t="s">
        <v>39</v>
      </c>
      <c r="F26" s="168" t="s">
        <v>20</v>
      </c>
      <c r="G26" s="39" t="s">
        <v>949</v>
      </c>
      <c r="H26" s="41" t="s">
        <v>1153</v>
      </c>
      <c r="I26" s="40" t="s">
        <v>1274</v>
      </c>
      <c r="J26" s="41" t="s">
        <v>1275</v>
      </c>
      <c r="K26" s="41" t="s">
        <v>1276</v>
      </c>
      <c r="L26" s="389" t="s">
        <v>1273</v>
      </c>
      <c r="M26" s="170">
        <f>IF(Project!$B$27="Off-Street",0,1)</f>
        <v>1</v>
      </c>
      <c r="N26" s="425">
        <f t="shared" si="6"/>
        <v>0</v>
      </c>
      <c r="O26" s="143"/>
      <c r="P26" s="143"/>
      <c r="Q26" s="441">
        <f>IF(OR($M26=0,$O26="N/A"),"NA",VLOOKUP($O26,Validation!$D$2:$E$7,2,0))</f>
        <v>0</v>
      </c>
      <c r="R26" s="129">
        <f t="shared" si="7"/>
        <v>2</v>
      </c>
      <c r="S26" s="441">
        <f>IF(OR($M26=0,$P26="N/A"),"NA",VLOOKUP($P26,Validation!$D$2:$E$7,2,0))</f>
        <v>0</v>
      </c>
      <c r="T26" s="34">
        <f t="shared" si="8"/>
        <v>2</v>
      </c>
      <c r="U26" s="35">
        <f>IF(VLOOKUP($H26,'How the score is generated'!$B$4:$I$73,2,0)="ü",$Q26,0)</f>
        <v>0</v>
      </c>
      <c r="V26" s="36">
        <f>IF(VLOOKUP($H26,'How the score is generated'!$B$4:$I$73,2,0)="ü",$S26,0)</f>
        <v>0</v>
      </c>
      <c r="W26" s="145">
        <f>IF(OR($M26=0,$N26=2),0,IF(VLOOKUP($H26,'How the score is generated'!$B$4:$I$73,2,0)="ü",2,0))</f>
        <v>0</v>
      </c>
      <c r="X26" s="35">
        <f>IF(VLOOKUP($H26,'How the score is generated'!$B$4:$I$73,3,0)="ü",$Q26,0)</f>
        <v>0</v>
      </c>
      <c r="Y26" s="36">
        <f>IF(VLOOKUP($H26,'How the score is generated'!$B$4:$I$73,3,0)="ü",$S26,0)</f>
        <v>0</v>
      </c>
      <c r="Z26" s="145">
        <f>IF(OR($M26=0,$N26=2),0,IF(VLOOKUP($H26,'How the score is generated'!$B$4:$I$73,3,0)="ü",2,0))</f>
        <v>2</v>
      </c>
      <c r="AA26" s="35">
        <f>IF(VLOOKUP($H26,'How the score is generated'!$B$4:$I$73,4,0)="ü",$Q26,0)</f>
        <v>0</v>
      </c>
      <c r="AB26" s="36">
        <f>IF(VLOOKUP($H26,'How the score is generated'!$B$4:$I$73,4,0)="ü",$S26,0)</f>
        <v>0</v>
      </c>
      <c r="AC26" s="145">
        <f>IF(OR($M26=0,$N26=2),0,IF(VLOOKUP($H26,'How the score is generated'!$B$4:$I$73,4,0)="ü",2,0))</f>
        <v>2</v>
      </c>
      <c r="AD26" s="35">
        <f>IF(VLOOKUP($H26,'How the score is generated'!$B$4:$I$73,5,0)="ü",$Q26,0)</f>
        <v>0</v>
      </c>
      <c r="AE26" s="36">
        <f>IF(VLOOKUP($H26,'How the score is generated'!$B$4:$I$73,5,0)="ü",$S26,0)</f>
        <v>0</v>
      </c>
      <c r="AF26" s="145">
        <f>IF(OR($M26=0,$N26=2),0,IF(VLOOKUP($H26,'How the score is generated'!$B$4:$I$73,5,0)="ü",2,0))</f>
        <v>0</v>
      </c>
      <c r="AG26" s="35">
        <f>IF(VLOOKUP($H26,'How the score is generated'!$B$4:$I$73,6,0)="ü",$Q26,0)</f>
        <v>0</v>
      </c>
      <c r="AH26" s="36">
        <f>IF(VLOOKUP($H26,'How the score is generated'!$B$4:$I$73,6,0)="ü",$S26,0)</f>
        <v>0</v>
      </c>
      <c r="AI26" s="145">
        <f>IF(OR($M26=0,$N26=2),0,IF(VLOOKUP($H26,'How the score is generated'!$B$4:$I$73,6,0)="ü",2,0))</f>
        <v>0</v>
      </c>
      <c r="AJ26" s="35">
        <f>IF(VLOOKUP($H26,'How the score is generated'!$B$4:$I$73,7,0)="ü",$Q26,0)</f>
        <v>0</v>
      </c>
      <c r="AK26" s="36">
        <f>IF(VLOOKUP($H26,'How the score is generated'!$B$4:$I$73,7,0)="ü",$S26,0)</f>
        <v>0</v>
      </c>
      <c r="AL26" s="145">
        <f>IF(OR($M26=0,$N26=2),0,IF(VLOOKUP($H26,'How the score is generated'!$B$4:$I$73,7,0)="ü",2,0))</f>
        <v>0</v>
      </c>
      <c r="AM26" s="35">
        <f>IF(VLOOKUP($H26,'How the score is generated'!$B$4:$I$73,8,0)="ü",$Q26,0)</f>
        <v>0</v>
      </c>
      <c r="AN26" s="36">
        <f>IF(VLOOKUP($H26,'How the score is generated'!$B$4:$I$73,8,0)="ü",$S26,0)</f>
        <v>0</v>
      </c>
      <c r="AO26" s="145">
        <f>IF(OR($M26=0,$N26=2),0,IF(VLOOKUP($H26,'How the score is generated'!$B$4:$I$73,8,0)="ü",2,0))</f>
        <v>0</v>
      </c>
      <c r="AP26" s="240"/>
      <c r="AQ26" s="449" t="s">
        <v>1282</v>
      </c>
      <c r="AR26" s="23"/>
      <c r="AS26" s="381"/>
      <c r="AW26" s="34"/>
      <c r="AX26" s="34" t="str">
        <f t="shared" si="9"/>
        <v/>
      </c>
      <c r="AY26" s="34" t="str">
        <f t="shared" si="10"/>
        <v/>
      </c>
      <c r="AZ26" s="34" t="str">
        <f t="shared" si="11"/>
        <v/>
      </c>
      <c r="BA26" s="34" t="str">
        <f t="shared" si="12"/>
        <v>13. Trip hazards and surface quality</v>
      </c>
      <c r="BB26" s="35">
        <f>IF(VLOOKUP($H26,'How the score is generated (H)'!$B$4:$H$73,2,0)="ü",$Q26,0)</f>
        <v>0</v>
      </c>
      <c r="BC26" s="36">
        <f>IF(VLOOKUP($H26,'How the score is generated (H)'!$B$4:$H$73,2,0)="ü",$S26,0)</f>
        <v>0</v>
      </c>
      <c r="BD26" s="145">
        <f>IF(OR($M26=0,$N26=2),0,IF(VLOOKUP($H26,'How the score is generated (H)'!$B$4:$H$73,2,0)="ü",2,0))</f>
        <v>2</v>
      </c>
      <c r="BE26" s="35">
        <f>IF(VLOOKUP($H26,'How the score is generated (H)'!$B$4:$H$73,3,0)="ü",$Q26,0)</f>
        <v>0</v>
      </c>
      <c r="BF26" s="36">
        <f>IF(VLOOKUP($H26,'How the score is generated (H)'!$B$4:$H$73,3,0)="ü",$S26,0)</f>
        <v>0</v>
      </c>
      <c r="BG26" s="145">
        <f>IF(OR($M26=0,$N26=2),0,IF(VLOOKUP($H26,'How the score is generated (H)'!$B$4:$H$73,3,0)="ü",2,0))</f>
        <v>2</v>
      </c>
      <c r="BH26" s="35">
        <f>IF(VLOOKUP($H26,'How the score is generated (H)'!$B$4:$H$73,4,0)="ü",$Q26,0)</f>
        <v>0</v>
      </c>
      <c r="BI26" s="36">
        <f>IF(VLOOKUP($H26,'How the score is generated (H)'!$B$4:$H$73,4,0)="ü",$S26,0)</f>
        <v>0</v>
      </c>
      <c r="BJ26" s="145">
        <f>IF(OR($M26=0,$N26=2),0,IF(VLOOKUP($H26,'How the score is generated (H)'!$B$4:$H$73,4,0)="ü",2,0))</f>
        <v>0</v>
      </c>
      <c r="BK26" s="35">
        <f>IF(VLOOKUP($H26,'How the score is generated (H)'!$B$4:$H$73,5,0)="ü",$Q26,0)</f>
        <v>0</v>
      </c>
      <c r="BL26" s="36">
        <f>IF(VLOOKUP($H26,'How the score is generated (H)'!$B$4:$H$73,5,0)="ü",$S26,0)</f>
        <v>0</v>
      </c>
      <c r="BM26" s="145">
        <f>IF(OR($M26=0,$N26=2),0,IF(VLOOKUP($H26,'How the score is generated (H)'!$B$4:$H$73,5,0)="ü",2,0))</f>
        <v>0</v>
      </c>
      <c r="BN26" s="35">
        <f>IF(VLOOKUP($H26,'How the score is generated (H)'!$B$4:$H$73,6,0)="ü",$Q26,0)</f>
        <v>0</v>
      </c>
      <c r="BO26" s="36">
        <f>IF(VLOOKUP($H26,'How the score is generated (H)'!$B$4:$H$73,6,0)="ü",$S26,0)</f>
        <v>0</v>
      </c>
      <c r="BP26" s="145">
        <f>IF(OR($M26=0,$N26=2),0,IF(VLOOKUP($H26,'How the score is generated (H)'!$B$4:$H$73,6,0)="ü",2,0))</f>
        <v>2</v>
      </c>
      <c r="BQ26" s="35">
        <f>IF(VLOOKUP($H26,'How the score is generated (H)'!$B$4:$H$73,7,0)="ü",$Q26,0)</f>
        <v>0</v>
      </c>
      <c r="BR26" s="36">
        <f>IF(VLOOKUP($H26,'How the score is generated (H)'!$B$4:$H$73,7,0)="ü",$S26,0)</f>
        <v>0</v>
      </c>
      <c r="BS26" s="145">
        <f>IF(OR($M26=0,$N26=2),0,IF(VLOOKUP($H26,'How the score is generated (H)'!$B$4:$H$73,7,0)="ü",2,0))</f>
        <v>0</v>
      </c>
      <c r="BT26" s="240"/>
      <c r="BU26" s="35">
        <f>IF(VLOOKUP($H26,'How the score is generated (P)'!$B$4:$I$73,2,0)="ü",$Q26,0)</f>
        <v>0</v>
      </c>
      <c r="BV26" s="36">
        <f>IF(VLOOKUP($H26,'How the score is generated (P)'!$B$4:$I$73,2,0)="ü",$S26,0)</f>
        <v>0</v>
      </c>
      <c r="BW26" s="145">
        <f>IF(OR($M26=0,$N26=2),0,IF(VLOOKUP($H26,'How the score is generated (P)'!$B$4:$I$73,2,0)="ü",2,0))</f>
        <v>0</v>
      </c>
      <c r="BX26" s="35">
        <f>IF(VLOOKUP($H26,'How the score is generated (P)'!$B$4:$I$73,3,0)="ü",$Q26,0)</f>
        <v>0</v>
      </c>
      <c r="BY26" s="36">
        <f>IF(VLOOKUP($H26,'How the score is generated (P)'!$B$4:$I$73,3,0)="ü",$S26,0)</f>
        <v>0</v>
      </c>
      <c r="BZ26" s="145">
        <f>IF(OR($M26=0,$N26=2),0,IF(VLOOKUP($H26,'How the score is generated (P)'!$B$4:$I$73,3,0)="ü",2,0))</f>
        <v>0</v>
      </c>
      <c r="CA26" s="35">
        <f>IF(VLOOKUP($H26,'How the score is generated (P)'!$B$4:$I$73,4,0)="ü",$Q26,0)</f>
        <v>0</v>
      </c>
      <c r="CB26" s="36">
        <f>IF(VLOOKUP($H26,'How the score is generated (P)'!$B$4:$I$73,4,0)="ü",$S26,0)</f>
        <v>0</v>
      </c>
      <c r="CC26" s="145">
        <f>IF(OR($M26=0,$N26=2),0,IF(VLOOKUP($H26,'How the score is generated (P)'!$B$4:$I$73,4,0)="ü",2,0))</f>
        <v>0</v>
      </c>
      <c r="CD26" s="35">
        <f>IF(VLOOKUP($H26,'How the score is generated (P)'!$B$4:$I$73,5,0)="ü",$Q26,0)</f>
        <v>0</v>
      </c>
      <c r="CE26" s="36">
        <f>IF(VLOOKUP($H26,'How the score is generated (P)'!$B$4:$I$73,5,0)="ü",$S26,0)</f>
        <v>0</v>
      </c>
      <c r="CF26" s="145">
        <f>IF(OR($M26=0,$N26=2),0,IF(VLOOKUP($H26,'How the score is generated (P)'!$B$4:$I$73,5,0)="ü",2,0))</f>
        <v>2</v>
      </c>
      <c r="CG26" s="35">
        <f>IF(VLOOKUP($H26,'How the score is generated (P)'!$B$4:$I$73,6,0)="ü",$Q26,0)</f>
        <v>0</v>
      </c>
      <c r="CH26" s="36">
        <f>IF(VLOOKUP($H26,'How the score is generated (P)'!$B$4:$I$73,6,0)="ü",$S26,0)</f>
        <v>0</v>
      </c>
      <c r="CI26" s="145">
        <f>IF(OR($M26=0,$N26=2),0,IF(VLOOKUP($H26,'How the score is generated (P)'!$B$4:$I$73,6,0)="ü",2,0))</f>
        <v>2</v>
      </c>
      <c r="CJ26" s="35">
        <f>IF(VLOOKUP($H26,'How the score is generated (P)'!$B$4:$I$73,7,0)="ü",$Q26,0)</f>
        <v>0</v>
      </c>
      <c r="CK26" s="36">
        <f>IF(VLOOKUP($H26,'How the score is generated (P)'!$B$4:$I$73,7,0)="ü",$S26,0)</f>
        <v>0</v>
      </c>
      <c r="CL26" s="145">
        <f>IF(OR($M26=0,$N26=2),0,IF(VLOOKUP($H26,'How the score is generated (P)'!$B$4:$I$73,7,0)="ü",2,0))</f>
        <v>2</v>
      </c>
      <c r="CM26" s="35">
        <f>IF(VLOOKUP($H26,'How the score is generated (P)'!$B$4:$I$73,8,0)="ü",$Q26,0)</f>
        <v>0</v>
      </c>
      <c r="CN26" s="36">
        <f>IF(VLOOKUP($H26,'How the score is generated (P)'!$B$4:$I$73,8,0)="ü",$S26,0)</f>
        <v>0</v>
      </c>
      <c r="CO26" s="145">
        <f>IF(OR($M26=0,$N26=2),0,IF(VLOOKUP($H26,'How the score is generated (P)'!$B$4:$I$73,8,0)="ü",2,0))</f>
        <v>2</v>
      </c>
      <c r="CP26" s="300" t="s">
        <v>1056</v>
      </c>
    </row>
    <row r="27" spans="1:94" ht="67" customHeight="1" thickBot="1" x14ac:dyDescent="0.4">
      <c r="A27" s="23"/>
      <c r="B27" s="31"/>
      <c r="C27" s="66" t="str">
        <f>Validation!$S$4</f>
        <v xml:space="preserve">Group 3. Footway (incl. shared use) </v>
      </c>
      <c r="D27" s="164">
        <f t="shared" si="13"/>
        <v>14</v>
      </c>
      <c r="E27" s="44" t="s">
        <v>39</v>
      </c>
      <c r="F27" s="168" t="s">
        <v>20</v>
      </c>
      <c r="G27" s="39" t="s">
        <v>80</v>
      </c>
      <c r="H27" s="41" t="s">
        <v>1154</v>
      </c>
      <c r="I27" s="40" t="s">
        <v>897</v>
      </c>
      <c r="J27" s="390" t="s">
        <v>896</v>
      </c>
      <c r="K27" s="390" t="s">
        <v>896</v>
      </c>
      <c r="L27" s="389" t="s">
        <v>1155</v>
      </c>
      <c r="M27" s="170">
        <f>IF(Project!$B$27="Off-Street",0,1)</f>
        <v>1</v>
      </c>
      <c r="N27" s="425">
        <f t="shared" si="6"/>
        <v>0</v>
      </c>
      <c r="O27" s="143"/>
      <c r="P27" s="143"/>
      <c r="Q27" s="441">
        <f>IF(OR($M27=0,$O27="N/A"),"NA",VLOOKUP($O27,Validation!$D$2:$E$7,2,0))</f>
        <v>0</v>
      </c>
      <c r="R27" s="129">
        <f t="shared" si="7"/>
        <v>2</v>
      </c>
      <c r="S27" s="441">
        <f>IF(OR($M27=0,$P27="N/A"),"NA",VLOOKUP($P27,Validation!$D$2:$E$7,2,0))</f>
        <v>0</v>
      </c>
      <c r="T27" s="34">
        <f t="shared" si="8"/>
        <v>2</v>
      </c>
      <c r="U27" s="35">
        <f>IF(VLOOKUP($H27,'How the score is generated'!$B$4:$I$73,2,0)="ü",$Q27,0)</f>
        <v>0</v>
      </c>
      <c r="V27" s="36">
        <f>IF(VLOOKUP($H27,'How the score is generated'!$B$4:$I$73,2,0)="ü",$S27,0)</f>
        <v>0</v>
      </c>
      <c r="W27" s="145">
        <f>IF(OR($M27=0,$N27=2),0,IF(VLOOKUP($H27,'How the score is generated'!$B$4:$I$73,2,0)="ü",2,0))</f>
        <v>0</v>
      </c>
      <c r="X27" s="35">
        <f>IF(VLOOKUP($H27,'How the score is generated'!$B$4:$I$73,3,0)="ü",$Q27,0)</f>
        <v>0</v>
      </c>
      <c r="Y27" s="36">
        <f>IF(VLOOKUP($H27,'How the score is generated'!$B$4:$I$73,3,0)="ü",$S27,0)</f>
        <v>0</v>
      </c>
      <c r="Z27" s="145">
        <f>IF(OR($M27=0,$N27=2),0,IF(VLOOKUP($H27,'How the score is generated'!$B$4:$I$73,3,0)="ü",2,0))</f>
        <v>2</v>
      </c>
      <c r="AA27" s="35">
        <f>IF(VLOOKUP($H27,'How the score is generated'!$B$4:$I$73,4,0)="ü",$Q27,0)</f>
        <v>0</v>
      </c>
      <c r="AB27" s="36">
        <f>IF(VLOOKUP($H27,'How the score is generated'!$B$4:$I$73,4,0)="ü",$S27,0)</f>
        <v>0</v>
      </c>
      <c r="AC27" s="145">
        <f>IF(OR($M27=0,$N27=2),0,IF(VLOOKUP($H27,'How the score is generated'!$B$4:$I$73,4,0)="ü",2,0))</f>
        <v>2</v>
      </c>
      <c r="AD27" s="35">
        <f>IF(VLOOKUP($H27,'How the score is generated'!$B$4:$I$73,5,0)="ü",$Q27,0)</f>
        <v>0</v>
      </c>
      <c r="AE27" s="36">
        <f>IF(VLOOKUP($H27,'How the score is generated'!$B$4:$I$73,5,0)="ü",$S27,0)</f>
        <v>0</v>
      </c>
      <c r="AF27" s="145">
        <f>IF(OR($M27=0,$N27=2),0,IF(VLOOKUP($H27,'How the score is generated'!$B$4:$I$73,5,0)="ü",2,0))</f>
        <v>0</v>
      </c>
      <c r="AG27" s="35">
        <f>IF(VLOOKUP($H27,'How the score is generated'!$B$4:$I$73,6,0)="ü",$Q27,0)</f>
        <v>0</v>
      </c>
      <c r="AH27" s="36">
        <f>IF(VLOOKUP($H27,'How the score is generated'!$B$4:$I$73,6,0)="ü",$S27,0)</f>
        <v>0</v>
      </c>
      <c r="AI27" s="145">
        <f>IF(OR($M27=0,$N27=2),0,IF(VLOOKUP($H27,'How the score is generated'!$B$4:$I$73,6,0)="ü",2,0))</f>
        <v>0</v>
      </c>
      <c r="AJ27" s="35">
        <f>IF(VLOOKUP($H27,'How the score is generated'!$B$4:$I$73,7,0)="ü",$Q27,0)</f>
        <v>0</v>
      </c>
      <c r="AK27" s="36">
        <f>IF(VLOOKUP($H27,'How the score is generated'!$B$4:$I$73,7,0)="ü",$S27,0)</f>
        <v>0</v>
      </c>
      <c r="AL27" s="145">
        <f>IF(OR($M27=0,$N27=2),0,IF(VLOOKUP($H27,'How the score is generated'!$B$4:$I$73,7,0)="ü",2,0))</f>
        <v>0</v>
      </c>
      <c r="AM27" s="35">
        <f>IF(VLOOKUP($H27,'How the score is generated'!$B$4:$I$73,8,0)="ü",$Q27,0)</f>
        <v>0</v>
      </c>
      <c r="AN27" s="36">
        <f>IF(VLOOKUP($H27,'How the score is generated'!$B$4:$I$73,8,0)="ü",$S27,0)</f>
        <v>0</v>
      </c>
      <c r="AO27" s="145">
        <f>IF(OR($M27=0,$N27=2),0,IF(VLOOKUP($H27,'How the score is generated'!$B$4:$I$73,8,0)="ü",2,0))</f>
        <v>0</v>
      </c>
      <c r="AP27" s="240"/>
      <c r="AQ27" s="404"/>
      <c r="AR27" s="23"/>
      <c r="AS27" s="381"/>
      <c r="AW27" s="34"/>
      <c r="AX27" s="34" t="str">
        <f t="shared" si="9"/>
        <v/>
      </c>
      <c r="AY27" s="34" t="str">
        <f t="shared" si="10"/>
        <v/>
      </c>
      <c r="AZ27" s="34" t="str">
        <f t="shared" si="11"/>
        <v/>
      </c>
      <c r="BA27" s="34" t="str">
        <f t="shared" si="12"/>
        <v>14. Gradient over a specified distance</v>
      </c>
      <c r="BB27" s="35">
        <f>IF(VLOOKUP($H27,'How the score is generated (H)'!$B$4:$H$73,2,0)="ü",$Q27,0)</f>
        <v>0</v>
      </c>
      <c r="BC27" s="36">
        <f>IF(VLOOKUP($H27,'How the score is generated (H)'!$B$4:$H$73,2,0)="ü",$S27,0)</f>
        <v>0</v>
      </c>
      <c r="BD27" s="145">
        <f>IF(OR($M27=0,$N27=2),0,IF(VLOOKUP($H27,'How the score is generated (H)'!$B$4:$H$73,2,0)="ü",2,0))</f>
        <v>0</v>
      </c>
      <c r="BE27" s="35">
        <f>IF(VLOOKUP($H27,'How the score is generated (H)'!$B$4:$H$73,3,0)="ü",$Q27,0)</f>
        <v>0</v>
      </c>
      <c r="BF27" s="36">
        <f>IF(VLOOKUP($H27,'How the score is generated (H)'!$B$4:$H$73,3,0)="ü",$S27,0)</f>
        <v>0</v>
      </c>
      <c r="BG27" s="145">
        <f>IF(OR($M27=0,$N27=2),0,IF(VLOOKUP($H27,'How the score is generated (H)'!$B$4:$H$73,3,0)="ü",2,0))</f>
        <v>2</v>
      </c>
      <c r="BH27" s="35">
        <f>IF(VLOOKUP($H27,'How the score is generated (H)'!$B$4:$H$73,4,0)="ü",$Q27,0)</f>
        <v>0</v>
      </c>
      <c r="BI27" s="36">
        <f>IF(VLOOKUP($H27,'How the score is generated (H)'!$B$4:$H$73,4,0)="ü",$S27,0)</f>
        <v>0</v>
      </c>
      <c r="BJ27" s="145">
        <f>IF(OR($M27=0,$N27=2),0,IF(VLOOKUP($H27,'How the score is generated (H)'!$B$4:$H$73,4,0)="ü",2,0))</f>
        <v>2</v>
      </c>
      <c r="BK27" s="35">
        <f>IF(VLOOKUP($H27,'How the score is generated (H)'!$B$4:$H$73,5,0)="ü",$Q27,0)</f>
        <v>0</v>
      </c>
      <c r="BL27" s="36">
        <f>IF(VLOOKUP($H27,'How the score is generated (H)'!$B$4:$H$73,5,0)="ü",$S27,0)</f>
        <v>0</v>
      </c>
      <c r="BM27" s="145">
        <f>IF(OR($M27=0,$N27=2),0,IF(VLOOKUP($H27,'How the score is generated (H)'!$B$4:$H$73,5,0)="ü",2,0))</f>
        <v>0</v>
      </c>
      <c r="BN27" s="35">
        <f>IF(VLOOKUP($H27,'How the score is generated (H)'!$B$4:$H$73,6,0)="ü",$Q27,0)</f>
        <v>0</v>
      </c>
      <c r="BO27" s="36">
        <f>IF(VLOOKUP($H27,'How the score is generated (H)'!$B$4:$H$73,6,0)="ü",$S27,0)</f>
        <v>0</v>
      </c>
      <c r="BP27" s="145">
        <f>IF(OR($M27=0,$N27=2),0,IF(VLOOKUP($H27,'How the score is generated (H)'!$B$4:$H$73,6,0)="ü",2,0))</f>
        <v>2</v>
      </c>
      <c r="BQ27" s="35">
        <f>IF(VLOOKUP($H27,'How the score is generated (H)'!$B$4:$H$73,7,0)="ü",$Q27,0)</f>
        <v>0</v>
      </c>
      <c r="BR27" s="36">
        <f>IF(VLOOKUP($H27,'How the score is generated (H)'!$B$4:$H$73,7,0)="ü",$S27,0)</f>
        <v>0</v>
      </c>
      <c r="BS27" s="145">
        <f>IF(OR($M27=0,$N27=2),0,IF(VLOOKUP($H27,'How the score is generated (H)'!$B$4:$H$73,7,0)="ü",2,0))</f>
        <v>0</v>
      </c>
      <c r="BT27" s="240"/>
      <c r="BU27" s="35">
        <f>IF(VLOOKUP($H27,'How the score is generated (P)'!$B$4:$I$73,2,0)="ü",$Q27,0)</f>
        <v>0</v>
      </c>
      <c r="BV27" s="36">
        <f>IF(VLOOKUP($H27,'How the score is generated (P)'!$B$4:$I$73,2,0)="ü",$S27,0)</f>
        <v>0</v>
      </c>
      <c r="BW27" s="145">
        <f>IF(OR($M27=0,$N27=2),0,IF(VLOOKUP($H27,'How the score is generated (P)'!$B$4:$I$73,2,0)="ü",2,0))</f>
        <v>0</v>
      </c>
      <c r="BX27" s="35">
        <f>IF(VLOOKUP($H27,'How the score is generated (P)'!$B$4:$I$73,3,0)="ü",$Q27,0)</f>
        <v>0</v>
      </c>
      <c r="BY27" s="36">
        <f>IF(VLOOKUP($H27,'How the score is generated (P)'!$B$4:$I$73,3,0)="ü",$S27,0)</f>
        <v>0</v>
      </c>
      <c r="BZ27" s="145">
        <f>IF(OR($M27=0,$N27=2),0,IF(VLOOKUP($H27,'How the score is generated (P)'!$B$4:$I$73,3,0)="ü",2,0))</f>
        <v>0</v>
      </c>
      <c r="CA27" s="35">
        <f>IF(VLOOKUP($H27,'How the score is generated (P)'!$B$4:$I$73,4,0)="ü",$Q27,0)</f>
        <v>0</v>
      </c>
      <c r="CB27" s="36">
        <f>IF(VLOOKUP($H27,'How the score is generated (P)'!$B$4:$I$73,4,0)="ü",$S27,0)</f>
        <v>0</v>
      </c>
      <c r="CC27" s="145">
        <f>IF(OR($M27=0,$N27=2),0,IF(VLOOKUP($H27,'How the score is generated (P)'!$B$4:$I$73,4,0)="ü",2,0))</f>
        <v>0</v>
      </c>
      <c r="CD27" s="35">
        <f>IF(VLOOKUP($H27,'How the score is generated (P)'!$B$4:$I$73,5,0)="ü",$Q27,0)</f>
        <v>0</v>
      </c>
      <c r="CE27" s="36">
        <f>IF(VLOOKUP($H27,'How the score is generated (P)'!$B$4:$I$73,5,0)="ü",$S27,0)</f>
        <v>0</v>
      </c>
      <c r="CF27" s="145">
        <f>IF(OR($M27=0,$N27=2),0,IF(VLOOKUP($H27,'How the score is generated (P)'!$B$4:$I$73,5,0)="ü",2,0))</f>
        <v>2</v>
      </c>
      <c r="CG27" s="35">
        <f>IF(VLOOKUP($H27,'How the score is generated (P)'!$B$4:$I$73,6,0)="ü",$Q27,0)</f>
        <v>0</v>
      </c>
      <c r="CH27" s="36">
        <f>IF(VLOOKUP($H27,'How the score is generated (P)'!$B$4:$I$73,6,0)="ü",$S27,0)</f>
        <v>0</v>
      </c>
      <c r="CI27" s="145">
        <f>IF(OR($M27=0,$N27=2),0,IF(VLOOKUP($H27,'How the score is generated (P)'!$B$4:$I$73,6,0)="ü",2,0))</f>
        <v>2</v>
      </c>
      <c r="CJ27" s="35">
        <f>IF(VLOOKUP($H27,'How the score is generated (P)'!$B$4:$I$73,7,0)="ü",$Q27,0)</f>
        <v>0</v>
      </c>
      <c r="CK27" s="36">
        <f>IF(VLOOKUP($H27,'How the score is generated (P)'!$B$4:$I$73,7,0)="ü",$S27,0)</f>
        <v>0</v>
      </c>
      <c r="CL27" s="145">
        <f>IF(OR($M27=0,$N27=2),0,IF(VLOOKUP($H27,'How the score is generated (P)'!$B$4:$I$73,7,0)="ü",2,0))</f>
        <v>0</v>
      </c>
      <c r="CM27" s="35">
        <f>IF(VLOOKUP($H27,'How the score is generated (P)'!$B$4:$I$73,8,0)="ü",$Q27,0)</f>
        <v>0</v>
      </c>
      <c r="CN27" s="36">
        <f>IF(VLOOKUP($H27,'How the score is generated (P)'!$B$4:$I$73,8,0)="ü",$S27,0)</f>
        <v>0</v>
      </c>
      <c r="CO27" s="145">
        <f>IF(OR($M27=0,$N27=2),0,IF(VLOOKUP($H27,'How the score is generated (P)'!$B$4:$I$73,8,0)="ü",2,0))</f>
        <v>0</v>
      </c>
      <c r="CP27" s="300" t="s">
        <v>1089</v>
      </c>
    </row>
    <row r="28" spans="1:94" ht="148" customHeight="1" thickBot="1" x14ac:dyDescent="0.4">
      <c r="A28" s="23"/>
      <c r="B28" s="31"/>
      <c r="C28" s="66" t="str">
        <f>Validation!$S$4</f>
        <v xml:space="preserve">Group 3. Footway (incl. shared use) </v>
      </c>
      <c r="D28" s="164">
        <f t="shared" si="13"/>
        <v>15</v>
      </c>
      <c r="E28" s="44" t="s">
        <v>39</v>
      </c>
      <c r="F28" s="168" t="s">
        <v>43</v>
      </c>
      <c r="G28" s="39" t="s">
        <v>1246</v>
      </c>
      <c r="H28" s="41" t="s">
        <v>1156</v>
      </c>
      <c r="I28" s="40" t="s">
        <v>1091</v>
      </c>
      <c r="J28" s="189" t="s">
        <v>1112</v>
      </c>
      <c r="K28" s="390" t="s">
        <v>896</v>
      </c>
      <c r="L28" s="389" t="s">
        <v>1113</v>
      </c>
      <c r="M28" s="170">
        <f>IF(Project!$B$27="Off-Street",0,1)</f>
        <v>1</v>
      </c>
      <c r="N28" s="425">
        <f t="shared" si="6"/>
        <v>0</v>
      </c>
      <c r="O28" s="143"/>
      <c r="P28" s="143"/>
      <c r="Q28" s="441">
        <f>IF(OR($M28=0,$O28="N/A"),"NA",VLOOKUP($O28,Validation!$D$2:$E$7,2,0))</f>
        <v>0</v>
      </c>
      <c r="R28" s="129">
        <f t="shared" si="7"/>
        <v>2</v>
      </c>
      <c r="S28" s="441">
        <f>IF(OR($M28=0,$P28="N/A"),"NA",VLOOKUP($P28,Validation!$D$2:$E$7,2,0))</f>
        <v>0</v>
      </c>
      <c r="T28" s="34">
        <f t="shared" si="8"/>
        <v>2</v>
      </c>
      <c r="U28" s="35">
        <f>IF(VLOOKUP($H28,'How the score is generated'!$B$4:$I$73,2,0)="ü",$Q28,0)</f>
        <v>0</v>
      </c>
      <c r="V28" s="36">
        <f>IF(VLOOKUP($H28,'How the score is generated'!$B$4:$I$73,2,0)="ü",$S28,0)</f>
        <v>0</v>
      </c>
      <c r="W28" s="145">
        <f>IF(OR($M28=0,$N28=2),0,IF(VLOOKUP($H28,'How the score is generated'!$B$4:$I$73,2,0)="ü",2,0))</f>
        <v>2</v>
      </c>
      <c r="X28" s="35">
        <f>IF(VLOOKUP($H28,'How the score is generated'!$B$4:$I$73,3,0)="ü",$Q28,0)</f>
        <v>0</v>
      </c>
      <c r="Y28" s="36">
        <f>IF(VLOOKUP($H28,'How the score is generated'!$B$4:$I$73,3,0)="ü",$S28,0)</f>
        <v>0</v>
      </c>
      <c r="Z28" s="145">
        <f>IF(OR($M28=0,$N28=2),0,IF(VLOOKUP($H28,'How the score is generated'!$B$4:$I$73,3,0)="ü",2,0))</f>
        <v>2</v>
      </c>
      <c r="AA28" s="35">
        <f>IF(VLOOKUP($H28,'How the score is generated'!$B$4:$I$73,4,0)="ü",$Q28,0)</f>
        <v>0</v>
      </c>
      <c r="AB28" s="36">
        <f>IF(VLOOKUP($H28,'How the score is generated'!$B$4:$I$73,4,0)="ü",$S28,0)</f>
        <v>0</v>
      </c>
      <c r="AC28" s="145">
        <f>IF(OR($M28=0,$N28=2),0,IF(VLOOKUP($H28,'How the score is generated'!$B$4:$I$73,4,0)="ü",2,0))</f>
        <v>0</v>
      </c>
      <c r="AD28" s="35">
        <f>IF(VLOOKUP($H28,'How the score is generated'!$B$4:$I$73,5,0)="ü",$Q28,0)</f>
        <v>0</v>
      </c>
      <c r="AE28" s="36">
        <f>IF(VLOOKUP($H28,'How the score is generated'!$B$4:$I$73,5,0)="ü",$S28,0)</f>
        <v>0</v>
      </c>
      <c r="AF28" s="145">
        <f>IF(OR($M28=0,$N28=2),0,IF(VLOOKUP($H28,'How the score is generated'!$B$4:$I$73,5,0)="ü",2,0))</f>
        <v>0</v>
      </c>
      <c r="AG28" s="35">
        <f>IF(VLOOKUP($H28,'How the score is generated'!$B$4:$I$73,6,0)="ü",$Q28,0)</f>
        <v>0</v>
      </c>
      <c r="AH28" s="36">
        <f>IF(VLOOKUP($H28,'How the score is generated'!$B$4:$I$73,6,0)="ü",$S28,0)</f>
        <v>0</v>
      </c>
      <c r="AI28" s="145">
        <f>IF(OR($M28=0,$N28=2),0,IF(VLOOKUP($H28,'How the score is generated'!$B$4:$I$73,6,0)="ü",2,0))</f>
        <v>0</v>
      </c>
      <c r="AJ28" s="35">
        <f>IF(VLOOKUP($H28,'How the score is generated'!$B$4:$I$73,7,0)="ü",$Q28,0)</f>
        <v>0</v>
      </c>
      <c r="AK28" s="36">
        <f>IF(VLOOKUP($H28,'How the score is generated'!$B$4:$I$73,7,0)="ü",$S28,0)</f>
        <v>0</v>
      </c>
      <c r="AL28" s="145">
        <f>IF(OR($M28=0,$N28=2),0,IF(VLOOKUP($H28,'How the score is generated'!$B$4:$I$73,7,0)="ü",2,0))</f>
        <v>0</v>
      </c>
      <c r="AM28" s="35">
        <f>IF(VLOOKUP($H28,'How the score is generated'!$B$4:$I$73,8,0)="ü",$Q28,0)</f>
        <v>0</v>
      </c>
      <c r="AN28" s="36">
        <f>IF(VLOOKUP($H28,'How the score is generated'!$B$4:$I$73,8,0)="ü",$S28,0)</f>
        <v>0</v>
      </c>
      <c r="AO28" s="145">
        <f>IF(OR($M28=0,$N28=2),0,IF(VLOOKUP($H28,'How the score is generated'!$B$4:$I$73,8,0)="ü",2,0))</f>
        <v>0</v>
      </c>
      <c r="AP28" s="240"/>
      <c r="AQ28" s="407" t="s">
        <v>1206</v>
      </c>
      <c r="AR28" s="23"/>
      <c r="AS28" s="381"/>
      <c r="AW28" s="34"/>
      <c r="AX28" s="34" t="str">
        <f t="shared" si="9"/>
        <v/>
      </c>
      <c r="AY28" s="34" t="str">
        <f t="shared" si="10"/>
        <v/>
      </c>
      <c r="AZ28" s="34" t="str">
        <f t="shared" si="11"/>
        <v/>
      </c>
      <c r="BA28" s="34" t="str">
        <f t="shared" si="12"/>
        <v>15. Legibility and tonal contrast of surfacing</v>
      </c>
      <c r="BB28" s="35">
        <f>IF(VLOOKUP($H28,'How the score is generated (H)'!$B$4:$H$73,2,0)="ü",$Q28,0)</f>
        <v>0</v>
      </c>
      <c r="BC28" s="36">
        <f>IF(VLOOKUP($H28,'How the score is generated (H)'!$B$4:$H$73,2,0)="ü",$S28,0)</f>
        <v>0</v>
      </c>
      <c r="BD28" s="145">
        <f>IF(OR($M28=0,$N28=2),0,IF(VLOOKUP($H28,'How the score is generated (H)'!$B$4:$H$73,2,0)="ü",2,0))</f>
        <v>0</v>
      </c>
      <c r="BE28" s="35">
        <f>IF(VLOOKUP($H28,'How the score is generated (H)'!$B$4:$H$73,3,0)="ü",$Q28,0)</f>
        <v>0</v>
      </c>
      <c r="BF28" s="36">
        <f>IF(VLOOKUP($H28,'How the score is generated (H)'!$B$4:$H$73,3,0)="ü",$S28,0)</f>
        <v>0</v>
      </c>
      <c r="BG28" s="145">
        <f>IF(OR($M28=0,$N28=2),0,IF(VLOOKUP($H28,'How the score is generated (H)'!$B$4:$H$73,3,0)="ü",2,0))</f>
        <v>2</v>
      </c>
      <c r="BH28" s="35">
        <f>IF(VLOOKUP($H28,'How the score is generated (H)'!$B$4:$H$73,4,0)="ü",$Q28,0)</f>
        <v>0</v>
      </c>
      <c r="BI28" s="36">
        <f>IF(VLOOKUP($H28,'How the score is generated (H)'!$B$4:$H$73,4,0)="ü",$S28,0)</f>
        <v>0</v>
      </c>
      <c r="BJ28" s="145">
        <f>IF(OR($M28=0,$N28=2),0,IF(VLOOKUP($H28,'How the score is generated (H)'!$B$4:$H$73,4,0)="ü",2,0))</f>
        <v>0</v>
      </c>
      <c r="BK28" s="35">
        <f>IF(VLOOKUP($H28,'How the score is generated (H)'!$B$4:$H$73,5,0)="ü",$Q28,0)</f>
        <v>0</v>
      </c>
      <c r="BL28" s="36">
        <f>IF(VLOOKUP($H28,'How the score is generated (H)'!$B$4:$H$73,5,0)="ü",$S28,0)</f>
        <v>0</v>
      </c>
      <c r="BM28" s="145">
        <f>IF(OR($M28=0,$N28=2),0,IF(VLOOKUP($H28,'How the score is generated (H)'!$B$4:$H$73,5,0)="ü",2,0))</f>
        <v>0</v>
      </c>
      <c r="BN28" s="35">
        <f>IF(VLOOKUP($H28,'How the score is generated (H)'!$B$4:$H$73,6,0)="ü",$Q28,0)</f>
        <v>0</v>
      </c>
      <c r="BO28" s="36">
        <f>IF(VLOOKUP($H28,'How the score is generated (H)'!$B$4:$H$73,6,0)="ü",$S28,0)</f>
        <v>0</v>
      </c>
      <c r="BP28" s="145">
        <f>IF(OR($M28=0,$N28=2),0,IF(VLOOKUP($H28,'How the score is generated (H)'!$B$4:$H$73,6,0)="ü",2,0))</f>
        <v>2</v>
      </c>
      <c r="BQ28" s="35">
        <f>IF(VLOOKUP($H28,'How the score is generated (H)'!$B$4:$H$73,7,0)="ü",$Q28,0)</f>
        <v>0</v>
      </c>
      <c r="BR28" s="36">
        <f>IF(VLOOKUP($H28,'How the score is generated (H)'!$B$4:$H$73,7,0)="ü",$S28,0)</f>
        <v>0</v>
      </c>
      <c r="BS28" s="145">
        <f>IF(OR($M28=0,$N28=2),0,IF(VLOOKUP($H28,'How the score is generated (H)'!$B$4:$H$73,7,0)="ü",2,0))</f>
        <v>0</v>
      </c>
      <c r="BT28" s="240"/>
      <c r="BU28" s="35">
        <f>IF(VLOOKUP($H28,'How the score is generated (P)'!$B$4:$I$73,2,0)="ü",$Q28,0)</f>
        <v>0</v>
      </c>
      <c r="BV28" s="36">
        <f>IF(VLOOKUP($H28,'How the score is generated (P)'!$B$4:$I$73,2,0)="ü",$S28,0)</f>
        <v>0</v>
      </c>
      <c r="BW28" s="145">
        <f>IF(OR($M28=0,$N28=2),0,IF(VLOOKUP($H28,'How the score is generated (P)'!$B$4:$I$73,2,0)="ü",2,0))</f>
        <v>0</v>
      </c>
      <c r="BX28" s="35">
        <f>IF(VLOOKUP($H28,'How the score is generated (P)'!$B$4:$I$73,3,0)="ü",$Q28,0)</f>
        <v>0</v>
      </c>
      <c r="BY28" s="36">
        <f>IF(VLOOKUP($H28,'How the score is generated (P)'!$B$4:$I$73,3,0)="ü",$S28,0)</f>
        <v>0</v>
      </c>
      <c r="BZ28" s="145">
        <f>IF(OR($M28=0,$N28=2),0,IF(VLOOKUP($H28,'How the score is generated (P)'!$B$4:$I$73,3,0)="ü",2,0))</f>
        <v>0</v>
      </c>
      <c r="CA28" s="35">
        <f>IF(VLOOKUP($H28,'How the score is generated (P)'!$B$4:$I$73,4,0)="ü",$Q28,0)</f>
        <v>0</v>
      </c>
      <c r="CB28" s="36">
        <f>IF(VLOOKUP($H28,'How the score is generated (P)'!$B$4:$I$73,4,0)="ü",$S28,0)</f>
        <v>0</v>
      </c>
      <c r="CC28" s="145">
        <f>IF(OR($M28=0,$N28=2),0,IF(VLOOKUP($H28,'How the score is generated (P)'!$B$4:$I$73,4,0)="ü",2,0))</f>
        <v>0</v>
      </c>
      <c r="CD28" s="35">
        <f>IF(VLOOKUP($H28,'How the score is generated (P)'!$B$4:$I$73,5,0)="ü",$Q28,0)</f>
        <v>0</v>
      </c>
      <c r="CE28" s="36">
        <f>IF(VLOOKUP($H28,'How the score is generated (P)'!$B$4:$I$73,5,0)="ü",$S28,0)</f>
        <v>0</v>
      </c>
      <c r="CF28" s="145">
        <f>IF(OR($M28=0,$N28=2),0,IF(VLOOKUP($H28,'How the score is generated (P)'!$B$4:$I$73,5,0)="ü",2,0))</f>
        <v>0</v>
      </c>
      <c r="CG28" s="35">
        <f>IF(VLOOKUP($H28,'How the score is generated (P)'!$B$4:$I$73,6,0)="ü",$Q28,0)</f>
        <v>0</v>
      </c>
      <c r="CH28" s="36">
        <f>IF(VLOOKUP($H28,'How the score is generated (P)'!$B$4:$I$73,6,0)="ü",$S28,0)</f>
        <v>0</v>
      </c>
      <c r="CI28" s="145">
        <f>IF(OR($M28=0,$N28=2),0,IF(VLOOKUP($H28,'How the score is generated (P)'!$B$4:$I$73,6,0)="ü",2,0))</f>
        <v>0</v>
      </c>
      <c r="CJ28" s="35">
        <f>IF(VLOOKUP($H28,'How the score is generated (P)'!$B$4:$I$73,7,0)="ü",$Q28,0)</f>
        <v>0</v>
      </c>
      <c r="CK28" s="36">
        <f>IF(VLOOKUP($H28,'How the score is generated (P)'!$B$4:$I$73,7,0)="ü",$S28,0)</f>
        <v>0</v>
      </c>
      <c r="CL28" s="145">
        <f>IF(OR($M28=0,$N28=2),0,IF(VLOOKUP($H28,'How the score is generated (P)'!$B$4:$I$73,7,0)="ü",2,0))</f>
        <v>2</v>
      </c>
      <c r="CM28" s="35">
        <f>IF(VLOOKUP($H28,'How the score is generated (P)'!$B$4:$I$73,8,0)="ü",$Q28,0)</f>
        <v>0</v>
      </c>
      <c r="CN28" s="36">
        <f>IF(VLOOKUP($H28,'How the score is generated (P)'!$B$4:$I$73,8,0)="ü",$S28,0)</f>
        <v>0</v>
      </c>
      <c r="CO28" s="145">
        <f>IF(OR($M28=0,$N28=2),0,IF(VLOOKUP($H28,'How the score is generated (P)'!$B$4:$I$73,8,0)="ü",2,0))</f>
        <v>0</v>
      </c>
      <c r="CP28" s="300" t="s">
        <v>1090</v>
      </c>
    </row>
    <row r="29" spans="1:94" ht="65.5" thickBot="1" x14ac:dyDescent="0.4">
      <c r="A29" s="23"/>
      <c r="B29" s="31"/>
      <c r="C29" s="66" t="str">
        <f>Validation!$S$4</f>
        <v xml:space="preserve">Group 3. Footway (incl. shared use) </v>
      </c>
      <c r="D29" s="164">
        <f t="shared" si="13"/>
        <v>16</v>
      </c>
      <c r="E29" s="44" t="s">
        <v>39</v>
      </c>
      <c r="F29" s="198" t="s">
        <v>43</v>
      </c>
      <c r="G29" s="39" t="s">
        <v>90</v>
      </c>
      <c r="H29" s="41" t="s">
        <v>91</v>
      </c>
      <c r="I29" s="390" t="s">
        <v>896</v>
      </c>
      <c r="J29" s="41" t="s">
        <v>92</v>
      </c>
      <c r="K29" s="41" t="s">
        <v>1157</v>
      </c>
      <c r="L29" s="42" t="s">
        <v>975</v>
      </c>
      <c r="M29" s="170">
        <f>IF(Project!$B$27="Off-Street",0,1)</f>
        <v>1</v>
      </c>
      <c r="N29" s="425">
        <f t="shared" si="6"/>
        <v>0</v>
      </c>
      <c r="O29" s="143"/>
      <c r="P29" s="143"/>
      <c r="Q29" s="441">
        <f>IF(OR($M29=0,$O29="N/A"),"NA",VLOOKUP($O29,Validation!$D$2:$E$7,2,0))</f>
        <v>0</v>
      </c>
      <c r="R29" s="129">
        <f t="shared" si="7"/>
        <v>2</v>
      </c>
      <c r="S29" s="441">
        <f>IF(OR($M29=0,$P29="N/A"),"NA",VLOOKUP($P29,Validation!$D$2:$E$7,2,0))</f>
        <v>0</v>
      </c>
      <c r="T29" s="34">
        <f t="shared" si="8"/>
        <v>2</v>
      </c>
      <c r="U29" s="35">
        <f>IF(VLOOKUP($H29,'How the score is generated'!$B$4:$I$73,2,0)="ü",$Q29,0)</f>
        <v>0</v>
      </c>
      <c r="V29" s="36">
        <f>IF(VLOOKUP($H29,'How the score is generated'!$B$4:$I$73,2,0)="ü",$S29,0)</f>
        <v>0</v>
      </c>
      <c r="W29" s="145">
        <f>IF(OR($M29=0,$N29=2),0,IF(VLOOKUP($H29,'How the score is generated'!$B$4:$I$73,2,0)="ü",2,0))</f>
        <v>2</v>
      </c>
      <c r="X29" s="35">
        <f>IF(VLOOKUP($H29,'How the score is generated'!$B$4:$I$73,3,0)="ü",$Q29,0)</f>
        <v>0</v>
      </c>
      <c r="Y29" s="36">
        <f>IF(VLOOKUP($H29,'How the score is generated'!$B$4:$I$73,3,0)="ü",$S29,0)</f>
        <v>0</v>
      </c>
      <c r="Z29" s="145">
        <f>IF(OR($M29=0,$N29=2),0,IF(VLOOKUP($H29,'How the score is generated'!$B$4:$I$73,3,0)="ü",2,0))</f>
        <v>0</v>
      </c>
      <c r="AA29" s="35">
        <f>IF(VLOOKUP($H29,'How the score is generated'!$B$4:$I$73,4,0)="ü",$Q29,0)</f>
        <v>0</v>
      </c>
      <c r="AB29" s="36">
        <f>IF(VLOOKUP($H29,'How the score is generated'!$B$4:$I$73,4,0)="ü",$S29,0)</f>
        <v>0</v>
      </c>
      <c r="AC29" s="145">
        <f>IF(OR($M29=0,$N29=2),0,IF(VLOOKUP($H29,'How the score is generated'!$B$4:$I$73,4,0)="ü",2,0))</f>
        <v>0</v>
      </c>
      <c r="AD29" s="35">
        <f>IF(VLOOKUP($H29,'How the score is generated'!$B$4:$I$73,5,0)="ü",$Q29,0)</f>
        <v>0</v>
      </c>
      <c r="AE29" s="36">
        <f>IF(VLOOKUP($H29,'How the score is generated'!$B$4:$I$73,5,0)="ü",$S29,0)</f>
        <v>0</v>
      </c>
      <c r="AF29" s="145">
        <f>IF(OR($M29=0,$N29=2),0,IF(VLOOKUP($H29,'How the score is generated'!$B$4:$I$73,5,0)="ü",2,0))</f>
        <v>0</v>
      </c>
      <c r="AG29" s="35">
        <f>IF(VLOOKUP($H29,'How the score is generated'!$B$4:$I$73,6,0)="ü",$Q29,0)</f>
        <v>0</v>
      </c>
      <c r="AH29" s="36">
        <f>IF(VLOOKUP($H29,'How the score is generated'!$B$4:$I$73,6,0)="ü",$S29,0)</f>
        <v>0</v>
      </c>
      <c r="AI29" s="145">
        <f>IF(OR($M29=0,$N29=2),0,IF(VLOOKUP($H29,'How the score is generated'!$B$4:$I$73,6,0)="ü",2,0))</f>
        <v>0</v>
      </c>
      <c r="AJ29" s="35">
        <f>IF(VLOOKUP($H29,'How the score is generated'!$B$4:$I$73,7,0)="ü",$Q29,0)</f>
        <v>0</v>
      </c>
      <c r="AK29" s="36">
        <f>IF(VLOOKUP($H29,'How the score is generated'!$B$4:$I$73,7,0)="ü",$S29,0)</f>
        <v>0</v>
      </c>
      <c r="AL29" s="145">
        <f>IF(OR($M29=0,$N29=2),0,IF(VLOOKUP($H29,'How the score is generated'!$B$4:$I$73,7,0)="ü",2,0))</f>
        <v>0</v>
      </c>
      <c r="AM29" s="35">
        <f>IF(VLOOKUP($H29,'How the score is generated'!$B$4:$I$73,8,0)="ü",$Q29,0)</f>
        <v>0</v>
      </c>
      <c r="AN29" s="36">
        <f>IF(VLOOKUP($H29,'How the score is generated'!$B$4:$I$73,8,0)="ü",$S29,0)</f>
        <v>0</v>
      </c>
      <c r="AO29" s="145">
        <f>IF(OR($M29=0,$N29=2),0,IF(VLOOKUP($H29,'How the score is generated'!$B$4:$I$73,8,0)="ü",2,0))</f>
        <v>0</v>
      </c>
      <c r="AP29" s="240"/>
      <c r="AQ29" s="404" t="s">
        <v>1241</v>
      </c>
      <c r="AR29" s="23"/>
      <c r="AS29" s="146"/>
      <c r="AW29" s="34"/>
      <c r="AX29" s="34" t="str">
        <f t="shared" si="9"/>
        <v/>
      </c>
      <c r="AY29" s="34" t="str">
        <f t="shared" si="10"/>
        <v/>
      </c>
      <c r="AZ29" s="34" t="str">
        <f t="shared" si="11"/>
        <v/>
      </c>
      <c r="BA29" s="34" t="str">
        <f t="shared" si="12"/>
        <v>16. Walking distance between resting points</v>
      </c>
      <c r="BB29" s="35">
        <f>IF(VLOOKUP($H29,'How the score is generated (H)'!$B$4:$H$73,2,0)="ü",$Q29,0)</f>
        <v>0</v>
      </c>
      <c r="BC29" s="36">
        <f>IF(VLOOKUP($H29,'How the score is generated (H)'!$B$4:$H$73,2,0)="ü",$S29,0)</f>
        <v>0</v>
      </c>
      <c r="BD29" s="145">
        <f>IF(OR($M29=0,$N29=2),0,IF(VLOOKUP($H29,'How the score is generated (H)'!$B$4:$H$73,2,0)="ü",2,0))</f>
        <v>2</v>
      </c>
      <c r="BE29" s="35">
        <f>IF(VLOOKUP($H29,'How the score is generated (H)'!$B$4:$H$73,3,0)="ü",$Q29,0)</f>
        <v>0</v>
      </c>
      <c r="BF29" s="36">
        <f>IF(VLOOKUP($H29,'How the score is generated (H)'!$B$4:$H$73,3,0)="ü",$S29,0)</f>
        <v>0</v>
      </c>
      <c r="BG29" s="145">
        <f>IF(OR($M29=0,$N29=2),0,IF(VLOOKUP($H29,'How the score is generated (H)'!$B$4:$H$73,3,0)="ü",2,0))</f>
        <v>2</v>
      </c>
      <c r="BH29" s="35">
        <f>IF(VLOOKUP($H29,'How the score is generated (H)'!$B$4:$H$73,4,0)="ü",$Q29,0)</f>
        <v>0</v>
      </c>
      <c r="BI29" s="36">
        <f>IF(VLOOKUP($H29,'How the score is generated (H)'!$B$4:$H$73,4,0)="ü",$S29,0)</f>
        <v>0</v>
      </c>
      <c r="BJ29" s="145">
        <f>IF(OR($M29=0,$N29=2),0,IF(VLOOKUP($H29,'How the score is generated (H)'!$B$4:$H$73,4,0)="ü",2,0))</f>
        <v>0</v>
      </c>
      <c r="BK29" s="35">
        <f>IF(VLOOKUP($H29,'How the score is generated (H)'!$B$4:$H$73,5,0)="ü",$Q29,0)</f>
        <v>0</v>
      </c>
      <c r="BL29" s="36">
        <f>IF(VLOOKUP($H29,'How the score is generated (H)'!$B$4:$H$73,5,0)="ü",$S29,0)</f>
        <v>0</v>
      </c>
      <c r="BM29" s="145">
        <f>IF(OR($M29=0,$N29=2),0,IF(VLOOKUP($H29,'How the score is generated (H)'!$B$4:$H$73,5,0)="ü",2,0))</f>
        <v>0</v>
      </c>
      <c r="BN29" s="35">
        <f>IF(VLOOKUP($H29,'How the score is generated (H)'!$B$4:$H$73,6,0)="ü",$Q29,0)</f>
        <v>0</v>
      </c>
      <c r="BO29" s="36">
        <f>IF(VLOOKUP($H29,'How the score is generated (H)'!$B$4:$H$73,6,0)="ü",$S29,0)</f>
        <v>0</v>
      </c>
      <c r="BP29" s="145">
        <f>IF(OR($M29=0,$N29=2),0,IF(VLOOKUP($H29,'How the score is generated (H)'!$B$4:$H$73,6,0)="ü",2,0))</f>
        <v>2</v>
      </c>
      <c r="BQ29" s="35">
        <f>IF(VLOOKUP($H29,'How the score is generated (H)'!$B$4:$H$73,7,0)="ü",$Q29,0)</f>
        <v>0</v>
      </c>
      <c r="BR29" s="36">
        <f>IF(VLOOKUP($H29,'How the score is generated (H)'!$B$4:$H$73,7,0)="ü",$S29,0)</f>
        <v>0</v>
      </c>
      <c r="BS29" s="145">
        <f>IF(OR($M29=0,$N29=2),0,IF(VLOOKUP($H29,'How the score is generated (H)'!$B$4:$H$73,7,0)="ü",2,0))</f>
        <v>0</v>
      </c>
      <c r="BT29" s="240"/>
      <c r="BU29" s="35">
        <f>IF(VLOOKUP($H29,'How the score is generated (P)'!$B$4:$I$73,2,0)="ü",$Q29,0)</f>
        <v>0</v>
      </c>
      <c r="BV29" s="36">
        <f>IF(VLOOKUP($H29,'How the score is generated (P)'!$B$4:$I$73,2,0)="ü",$S29,0)</f>
        <v>0</v>
      </c>
      <c r="BW29" s="145">
        <f>IF(OR($M29=0,$N29=2),0,IF(VLOOKUP($H29,'How the score is generated (P)'!$B$4:$I$73,2,0)="ü",2,0))</f>
        <v>0</v>
      </c>
      <c r="BX29" s="35">
        <f>IF(VLOOKUP($H29,'How the score is generated (P)'!$B$4:$I$73,3,0)="ü",$Q29,0)</f>
        <v>0</v>
      </c>
      <c r="BY29" s="36">
        <f>IF(VLOOKUP($H29,'How the score is generated (P)'!$B$4:$I$73,3,0)="ü",$S29,0)</f>
        <v>0</v>
      </c>
      <c r="BZ29" s="145">
        <f>IF(OR($M29=0,$N29=2),0,IF(VLOOKUP($H29,'How the score is generated (P)'!$B$4:$I$73,3,0)="ü",2,0))</f>
        <v>0</v>
      </c>
      <c r="CA29" s="35">
        <f>IF(VLOOKUP($H29,'How the score is generated (P)'!$B$4:$I$73,4,0)="ü",$Q29,0)</f>
        <v>0</v>
      </c>
      <c r="CB29" s="36">
        <f>IF(VLOOKUP($H29,'How the score is generated (P)'!$B$4:$I$73,4,0)="ü",$S29,0)</f>
        <v>0</v>
      </c>
      <c r="CC29" s="145">
        <f>IF(OR($M29=0,$N29=2),0,IF(VLOOKUP($H29,'How the score is generated (P)'!$B$4:$I$73,4,0)="ü",2,0))</f>
        <v>0</v>
      </c>
      <c r="CD29" s="35">
        <f>IF(VLOOKUP($H29,'How the score is generated (P)'!$B$4:$I$73,5,0)="ü",$Q29,0)</f>
        <v>0</v>
      </c>
      <c r="CE29" s="36">
        <f>IF(VLOOKUP($H29,'How the score is generated (P)'!$B$4:$I$73,5,0)="ü",$S29,0)</f>
        <v>0</v>
      </c>
      <c r="CF29" s="145">
        <f>IF(OR($M29=0,$N29=2),0,IF(VLOOKUP($H29,'How the score is generated (P)'!$B$4:$I$73,5,0)="ü",2,0))</f>
        <v>2</v>
      </c>
      <c r="CG29" s="35">
        <f>IF(VLOOKUP($H29,'How the score is generated (P)'!$B$4:$I$73,6,0)="ü",$Q29,0)</f>
        <v>0</v>
      </c>
      <c r="CH29" s="36">
        <f>IF(VLOOKUP($H29,'How the score is generated (P)'!$B$4:$I$73,6,0)="ü",$S29,0)</f>
        <v>0</v>
      </c>
      <c r="CI29" s="145">
        <f>IF(OR($M29=0,$N29=2),0,IF(VLOOKUP($H29,'How the score is generated (P)'!$B$4:$I$73,6,0)="ü",2,0))</f>
        <v>2</v>
      </c>
      <c r="CJ29" s="35">
        <f>IF(VLOOKUP($H29,'How the score is generated (P)'!$B$4:$I$73,7,0)="ü",$Q29,0)</f>
        <v>0</v>
      </c>
      <c r="CK29" s="36">
        <f>IF(VLOOKUP($H29,'How the score is generated (P)'!$B$4:$I$73,7,0)="ü",$S29,0)</f>
        <v>0</v>
      </c>
      <c r="CL29" s="145">
        <f>IF(OR($M29=0,$N29=2),0,IF(VLOOKUP($H29,'How the score is generated (P)'!$B$4:$I$73,7,0)="ü",2,0))</f>
        <v>0</v>
      </c>
      <c r="CM29" s="35">
        <f>IF(VLOOKUP($H29,'How the score is generated (P)'!$B$4:$I$73,8,0)="ü",$Q29,0)</f>
        <v>0</v>
      </c>
      <c r="CN29" s="36">
        <f>IF(VLOOKUP($H29,'How the score is generated (P)'!$B$4:$I$73,8,0)="ü",$S29,0)</f>
        <v>0</v>
      </c>
      <c r="CO29" s="145">
        <f>IF(OR($M29=0,$N29=2),0,IF(VLOOKUP($H29,'How the score is generated (P)'!$B$4:$I$73,8,0)="ü",2,0))</f>
        <v>2</v>
      </c>
      <c r="CP29" s="300" t="s">
        <v>1104</v>
      </c>
    </row>
    <row r="30" spans="1:94" ht="54.65" customHeight="1" thickBot="1" x14ac:dyDescent="0.4">
      <c r="A30" s="23"/>
      <c r="B30" s="31"/>
      <c r="C30" s="209" t="str">
        <f>Validation!$S$4</f>
        <v xml:space="preserve">Group 3. Footway (incl. shared use) </v>
      </c>
      <c r="D30" s="164">
        <f t="shared" si="13"/>
        <v>17</v>
      </c>
      <c r="E30" s="44" t="s">
        <v>39</v>
      </c>
      <c r="F30" s="168" t="s">
        <v>20</v>
      </c>
      <c r="G30" s="39" t="s">
        <v>1160</v>
      </c>
      <c r="H30" s="41" t="s">
        <v>1161</v>
      </c>
      <c r="I30" s="390" t="s">
        <v>896</v>
      </c>
      <c r="J30" s="41" t="s">
        <v>1158</v>
      </c>
      <c r="K30" s="41" t="s">
        <v>1159</v>
      </c>
      <c r="L30" s="42" t="s">
        <v>976</v>
      </c>
      <c r="M30" s="170">
        <f>IF(Project!$B$27="Off-Street",0,1)</f>
        <v>1</v>
      </c>
      <c r="N30" s="425">
        <f t="shared" si="6"/>
        <v>0</v>
      </c>
      <c r="O30" s="143"/>
      <c r="P30" s="143"/>
      <c r="Q30" s="441">
        <f>IF(OR($M30=0,$O30="N/A"),"NA",VLOOKUP($O30,Validation!$D$2:$E$7,2,0))</f>
        <v>0</v>
      </c>
      <c r="R30" s="129">
        <f t="shared" si="7"/>
        <v>2</v>
      </c>
      <c r="S30" s="441">
        <f>IF(OR($M30=0,$P30="N/A"),"NA",VLOOKUP($P30,Validation!$D$2:$E$7,2,0))</f>
        <v>0</v>
      </c>
      <c r="T30" s="34">
        <f t="shared" si="8"/>
        <v>2</v>
      </c>
      <c r="U30" s="35">
        <f>IF(VLOOKUP($H30,'How the score is generated'!$B$4:$I$73,2,0)="ü",$Q30,0)</f>
        <v>0</v>
      </c>
      <c r="V30" s="36">
        <f>IF(VLOOKUP($H30,'How the score is generated'!$B$4:$I$73,2,0)="ü",$S30,0)</f>
        <v>0</v>
      </c>
      <c r="W30" s="145">
        <f>IF(OR($M30=0,$N30=2),0,IF(VLOOKUP($H30,'How the score is generated'!$B$4:$I$73,2,0)="ü",2,0))</f>
        <v>0</v>
      </c>
      <c r="X30" s="35">
        <f>IF(VLOOKUP($H30,'How the score is generated'!$B$4:$I$73,3,0)="ü",$Q30,0)</f>
        <v>0</v>
      </c>
      <c r="Y30" s="36">
        <f>IF(VLOOKUP($H30,'How the score is generated'!$B$4:$I$73,3,0)="ü",$S30,0)</f>
        <v>0</v>
      </c>
      <c r="Z30" s="145">
        <f>IF(OR($M30=0,$N30=2),0,IF(VLOOKUP($H30,'How the score is generated'!$B$4:$I$73,3,0)="ü",2,0))</f>
        <v>2</v>
      </c>
      <c r="AA30" s="35">
        <f>IF(VLOOKUP($H30,'How the score is generated'!$B$4:$I$73,4,0)="ü",$Q30,0)</f>
        <v>0</v>
      </c>
      <c r="AB30" s="36">
        <f>IF(VLOOKUP($H30,'How the score is generated'!$B$4:$I$73,4,0)="ü",$S30,0)</f>
        <v>0</v>
      </c>
      <c r="AC30" s="145">
        <f>IF(OR($M30=0,$N30=2),0,IF(VLOOKUP($H30,'How the score is generated'!$B$4:$I$73,4,0)="ü",2,0))</f>
        <v>2</v>
      </c>
      <c r="AD30" s="35">
        <f>IF(VLOOKUP($H30,'How the score is generated'!$B$4:$I$73,5,0)="ü",$Q30,0)</f>
        <v>0</v>
      </c>
      <c r="AE30" s="36">
        <f>IF(VLOOKUP($H30,'How the score is generated'!$B$4:$I$73,5,0)="ü",$S30,0)</f>
        <v>0</v>
      </c>
      <c r="AF30" s="145">
        <f>IF(OR($M30=0,$N30=2),0,IF(VLOOKUP($H30,'How the score is generated'!$B$4:$I$73,5,0)="ü",2,0))</f>
        <v>0</v>
      </c>
      <c r="AG30" s="35">
        <f>IF(VLOOKUP($H30,'How the score is generated'!$B$4:$I$73,6,0)="ü",$Q30,0)</f>
        <v>0</v>
      </c>
      <c r="AH30" s="36">
        <f>IF(VLOOKUP($H30,'How the score is generated'!$B$4:$I$73,6,0)="ü",$S30,0)</f>
        <v>0</v>
      </c>
      <c r="AI30" s="145">
        <f>IF(OR($M30=0,$N30=2),0,IF(VLOOKUP($H30,'How the score is generated'!$B$4:$I$73,6,0)="ü",2,0))</f>
        <v>0</v>
      </c>
      <c r="AJ30" s="35">
        <f>IF(VLOOKUP($H30,'How the score is generated'!$B$4:$I$73,7,0)="ü",$Q30,0)</f>
        <v>0</v>
      </c>
      <c r="AK30" s="36">
        <f>IF(VLOOKUP($H30,'How the score is generated'!$B$4:$I$73,7,0)="ü",$S30,0)</f>
        <v>0</v>
      </c>
      <c r="AL30" s="145">
        <f>IF(OR($M30=0,$N30=2),0,IF(VLOOKUP($H30,'How the score is generated'!$B$4:$I$73,7,0)="ü",2,0))</f>
        <v>0</v>
      </c>
      <c r="AM30" s="35">
        <f>IF(VLOOKUP($H30,'How the score is generated'!$B$4:$I$73,8,0)="ü",$Q30,0)</f>
        <v>0</v>
      </c>
      <c r="AN30" s="36">
        <f>IF(VLOOKUP($H30,'How the score is generated'!$B$4:$I$73,8,0)="ü",$S30,0)</f>
        <v>0</v>
      </c>
      <c r="AO30" s="145">
        <f>IF(OR($M30=0,$N30=2),0,IF(VLOOKUP($H30,'How the score is generated'!$B$4:$I$73,8,0)="ü",2,0))</f>
        <v>0</v>
      </c>
      <c r="AP30" s="240"/>
      <c r="AQ30" s="404"/>
      <c r="AR30" s="23"/>
      <c r="AS30" s="146"/>
      <c r="AW30" s="34"/>
      <c r="AX30" s="34" t="str">
        <f t="shared" si="9"/>
        <v/>
      </c>
      <c r="AY30" s="34" t="str">
        <f t="shared" si="10"/>
        <v/>
      </c>
      <c r="AZ30" s="34" t="str">
        <f t="shared" si="11"/>
        <v/>
      </c>
      <c r="BA30" s="34" t="str">
        <f t="shared" si="12"/>
        <v>17. Provision, quality and continuity of wayfinding</v>
      </c>
      <c r="BB30" s="35">
        <f>IF(VLOOKUP($H30,'How the score is generated (H)'!$B$4:$H$73,2,0)="ü",$Q30,0)</f>
        <v>0</v>
      </c>
      <c r="BC30" s="36">
        <f>IF(VLOOKUP($H30,'How the score is generated (H)'!$B$4:$H$73,2,0)="ü",$S30,0)</f>
        <v>0</v>
      </c>
      <c r="BD30" s="145">
        <f>IF(OR($M30=0,$N30=2),0,IF(VLOOKUP($H30,'How the score is generated (H)'!$B$4:$H$73,2,0)="ü",2,0))</f>
        <v>0</v>
      </c>
      <c r="BE30" s="35">
        <f>IF(VLOOKUP($H30,'How the score is generated (H)'!$B$4:$H$73,3,0)="ü",$Q30,0)</f>
        <v>0</v>
      </c>
      <c r="BF30" s="36">
        <f>IF(VLOOKUP($H30,'How the score is generated (H)'!$B$4:$H$73,3,0)="ü",$S30,0)</f>
        <v>0</v>
      </c>
      <c r="BG30" s="145">
        <f>IF(OR($M30=0,$N30=2),0,IF(VLOOKUP($H30,'How the score is generated (H)'!$B$4:$H$73,3,0)="ü",2,0))</f>
        <v>2</v>
      </c>
      <c r="BH30" s="35">
        <f>IF(VLOOKUP($H30,'How the score is generated (H)'!$B$4:$H$73,4,0)="ü",$Q30,0)</f>
        <v>0</v>
      </c>
      <c r="BI30" s="36">
        <f>IF(VLOOKUP($H30,'How the score is generated (H)'!$B$4:$H$73,4,0)="ü",$S30,0)</f>
        <v>0</v>
      </c>
      <c r="BJ30" s="145">
        <f>IF(OR($M30=0,$N30=2),0,IF(VLOOKUP($H30,'How the score is generated (H)'!$B$4:$H$73,4,0)="ü",2,0))</f>
        <v>2</v>
      </c>
      <c r="BK30" s="35">
        <f>IF(VLOOKUP($H30,'How the score is generated (H)'!$B$4:$H$73,5,0)="ü",$Q30,0)</f>
        <v>0</v>
      </c>
      <c r="BL30" s="36">
        <f>IF(VLOOKUP($H30,'How the score is generated (H)'!$B$4:$H$73,5,0)="ü",$S30,0)</f>
        <v>0</v>
      </c>
      <c r="BM30" s="145">
        <f>IF(OR($M30=0,$N30=2),0,IF(VLOOKUP($H30,'How the score is generated (H)'!$B$4:$H$73,5,0)="ü",2,0))</f>
        <v>0</v>
      </c>
      <c r="BN30" s="35">
        <f>IF(VLOOKUP($H30,'How the score is generated (H)'!$B$4:$H$73,6,0)="ü",$Q30,0)</f>
        <v>0</v>
      </c>
      <c r="BO30" s="36">
        <f>IF(VLOOKUP($H30,'How the score is generated (H)'!$B$4:$H$73,6,0)="ü",$S30,0)</f>
        <v>0</v>
      </c>
      <c r="BP30" s="145">
        <f>IF(OR($M30=0,$N30=2),0,IF(VLOOKUP($H30,'How the score is generated (H)'!$B$4:$H$73,6,0)="ü",2,0))</f>
        <v>2</v>
      </c>
      <c r="BQ30" s="35">
        <f>IF(VLOOKUP($H30,'How the score is generated (H)'!$B$4:$H$73,7,0)="ü",$Q30,0)</f>
        <v>0</v>
      </c>
      <c r="BR30" s="36">
        <f>IF(VLOOKUP($H30,'How the score is generated (H)'!$B$4:$H$73,7,0)="ü",$S30,0)</f>
        <v>0</v>
      </c>
      <c r="BS30" s="145">
        <f>IF(OR($M30=0,$N30=2),0,IF(VLOOKUP($H30,'How the score is generated (H)'!$B$4:$H$73,7,0)="ü",2,0))</f>
        <v>0</v>
      </c>
      <c r="BT30" s="240"/>
      <c r="BU30" s="35">
        <f>IF(VLOOKUP($H30,'How the score is generated (P)'!$B$4:$I$73,2,0)="ü",$Q30,0)</f>
        <v>0</v>
      </c>
      <c r="BV30" s="36">
        <f>IF(VLOOKUP($H30,'How the score is generated (P)'!$B$4:$I$73,2,0)="ü",$S30,0)</f>
        <v>0</v>
      </c>
      <c r="BW30" s="145">
        <f>IF(OR($M30=0,$N30=2),0,IF(VLOOKUP($H30,'How the score is generated (P)'!$B$4:$I$73,2,0)="ü",2,0))</f>
        <v>0</v>
      </c>
      <c r="BX30" s="35">
        <f>IF(VLOOKUP($H30,'How the score is generated (P)'!$B$4:$I$73,3,0)="ü",$Q30,0)</f>
        <v>0</v>
      </c>
      <c r="BY30" s="36">
        <f>IF(VLOOKUP($H30,'How the score is generated (P)'!$B$4:$I$73,3,0)="ü",$S30,0)</f>
        <v>0</v>
      </c>
      <c r="BZ30" s="145">
        <f>IF(OR($M30=0,$N30=2),0,IF(VLOOKUP($H30,'How the score is generated (P)'!$B$4:$I$73,3,0)="ü",2,0))</f>
        <v>0</v>
      </c>
      <c r="CA30" s="35">
        <f>IF(VLOOKUP($H30,'How the score is generated (P)'!$B$4:$I$73,4,0)="ü",$Q30,0)</f>
        <v>0</v>
      </c>
      <c r="CB30" s="36">
        <f>IF(VLOOKUP($H30,'How the score is generated (P)'!$B$4:$I$73,4,0)="ü",$S30,0)</f>
        <v>0</v>
      </c>
      <c r="CC30" s="145">
        <f>IF(OR($M30=0,$N30=2),0,IF(VLOOKUP($H30,'How the score is generated (P)'!$B$4:$I$73,4,0)="ü",2,0))</f>
        <v>0</v>
      </c>
      <c r="CD30" s="35">
        <f>IF(VLOOKUP($H30,'How the score is generated (P)'!$B$4:$I$73,5,0)="ü",$Q30,0)</f>
        <v>0</v>
      </c>
      <c r="CE30" s="36">
        <f>IF(VLOOKUP($H30,'How the score is generated (P)'!$B$4:$I$73,5,0)="ü",$S30,0)</f>
        <v>0</v>
      </c>
      <c r="CF30" s="145">
        <f>IF(OR($M30=0,$N30=2),0,IF(VLOOKUP($H30,'How the score is generated (P)'!$B$4:$I$73,5,0)="ü",2,0))</f>
        <v>0</v>
      </c>
      <c r="CG30" s="35">
        <f>IF(VLOOKUP($H30,'How the score is generated (P)'!$B$4:$I$73,6,0)="ü",$Q30,0)</f>
        <v>0</v>
      </c>
      <c r="CH30" s="36">
        <f>IF(VLOOKUP($H30,'How the score is generated (P)'!$B$4:$I$73,6,0)="ü",$S30,0)</f>
        <v>0</v>
      </c>
      <c r="CI30" s="145">
        <f>IF(OR($M30=0,$N30=2),0,IF(VLOOKUP($H30,'How the score is generated (P)'!$B$4:$I$73,6,0)="ü",2,0))</f>
        <v>0</v>
      </c>
      <c r="CJ30" s="35">
        <f>IF(VLOOKUP($H30,'How the score is generated (P)'!$B$4:$I$73,7,0)="ü",$Q30,0)</f>
        <v>0</v>
      </c>
      <c r="CK30" s="36">
        <f>IF(VLOOKUP($H30,'How the score is generated (P)'!$B$4:$I$73,7,0)="ü",$S30,0)</f>
        <v>0</v>
      </c>
      <c r="CL30" s="145">
        <f>IF(OR($M30=0,$N30=2),0,IF(VLOOKUP($H30,'How the score is generated (P)'!$B$4:$I$73,7,0)="ü",2,0))</f>
        <v>0</v>
      </c>
      <c r="CM30" s="35">
        <f>IF(VLOOKUP($H30,'How the score is generated (P)'!$B$4:$I$73,8,0)="ü",$Q30,0)</f>
        <v>0</v>
      </c>
      <c r="CN30" s="36">
        <f>IF(VLOOKUP($H30,'How the score is generated (P)'!$B$4:$I$73,8,0)="ü",$S30,0)</f>
        <v>0</v>
      </c>
      <c r="CO30" s="145">
        <f>IF(OR($M30=0,$N30=2),0,IF(VLOOKUP($H30,'How the score is generated (P)'!$B$4:$I$73,8,0)="ü",2,0))</f>
        <v>0</v>
      </c>
      <c r="CP30" s="300" t="s">
        <v>1103</v>
      </c>
    </row>
    <row r="31" spans="1:94" ht="72.5" customHeight="1" thickBot="1" x14ac:dyDescent="0.4">
      <c r="A31" s="23"/>
      <c r="B31" s="31"/>
      <c r="C31" s="218" t="str">
        <f>Validation!$S$4</f>
        <v xml:space="preserve">Group 3. Footway (incl. shared use) </v>
      </c>
      <c r="D31" s="211">
        <f t="shared" si="13"/>
        <v>18</v>
      </c>
      <c r="E31" s="212" t="s">
        <v>39</v>
      </c>
      <c r="F31" s="213" t="s">
        <v>20</v>
      </c>
      <c r="G31" s="177" t="s">
        <v>1162</v>
      </c>
      <c r="H31" s="178" t="s">
        <v>1163</v>
      </c>
      <c r="I31" s="196" t="s">
        <v>995</v>
      </c>
      <c r="J31" s="178" t="s">
        <v>977</v>
      </c>
      <c r="K31" s="178" t="s">
        <v>268</v>
      </c>
      <c r="L31" s="180" t="s">
        <v>269</v>
      </c>
      <c r="M31" s="129">
        <f>IF(Project!$B$27="Off-Street",0,1)</f>
        <v>1</v>
      </c>
      <c r="N31" s="425">
        <f t="shared" si="6"/>
        <v>0</v>
      </c>
      <c r="O31" s="143"/>
      <c r="P31" s="143"/>
      <c r="Q31" s="441">
        <f>IF(OR($M31=0,$O31="N/A"),"NA",VLOOKUP($O31,Validation!$D$2:$E$7,2,0))</f>
        <v>0</v>
      </c>
      <c r="R31" s="129">
        <f t="shared" si="7"/>
        <v>2</v>
      </c>
      <c r="S31" s="441">
        <f>IF(OR($M31=0,$P31="N/A"),"NA",VLOOKUP($P31,Validation!$D$2:$E$7,2,0))</f>
        <v>0</v>
      </c>
      <c r="T31" s="34">
        <f t="shared" si="8"/>
        <v>2</v>
      </c>
      <c r="U31" s="35">
        <f>IF(VLOOKUP($H31,'How the score is generated'!$B$4:$I$73,2,0)="ü",$Q31,0)</f>
        <v>0</v>
      </c>
      <c r="V31" s="36">
        <f>IF(VLOOKUP($H31,'How the score is generated'!$B$4:$I$73,2,0)="ü",$S31,0)</f>
        <v>0</v>
      </c>
      <c r="W31" s="145">
        <f>IF(OR($M31=0,$N31=2),0,IF(VLOOKUP($H31,'How the score is generated'!$B$4:$I$73,2,0)="ü",2,0))</f>
        <v>0</v>
      </c>
      <c r="X31" s="35">
        <f>IF(VLOOKUP($H31,'How the score is generated'!$B$4:$I$73,3,0)="ü",$Q31,0)</f>
        <v>0</v>
      </c>
      <c r="Y31" s="36">
        <f>IF(VLOOKUP($H31,'How the score is generated'!$B$4:$I$73,3,0)="ü",$S31,0)</f>
        <v>0</v>
      </c>
      <c r="Z31" s="145">
        <f>IF(OR($M31=0,$N31=2),0,IF(VLOOKUP($H31,'How the score is generated'!$B$4:$I$73,3,0)="ü",2,0))</f>
        <v>2</v>
      </c>
      <c r="AA31" s="35">
        <f>IF(VLOOKUP($H31,'How the score is generated'!$B$4:$I$73,4,0)="ü",$Q31,0)</f>
        <v>0</v>
      </c>
      <c r="AB31" s="36">
        <f>IF(VLOOKUP($H31,'How the score is generated'!$B$4:$I$73,4,0)="ü",$S31,0)</f>
        <v>0</v>
      </c>
      <c r="AC31" s="145">
        <f>IF(OR($M31=0,$N31=2),0,IF(VLOOKUP($H31,'How the score is generated'!$B$4:$I$73,4,0)="ü",2,0))</f>
        <v>2</v>
      </c>
      <c r="AD31" s="35">
        <f>IF(VLOOKUP($H31,'How the score is generated'!$B$4:$I$73,5,0)="ü",$Q31,0)</f>
        <v>0</v>
      </c>
      <c r="AE31" s="36">
        <f>IF(VLOOKUP($H31,'How the score is generated'!$B$4:$I$73,5,0)="ü",$S31,0)</f>
        <v>0</v>
      </c>
      <c r="AF31" s="145">
        <f>IF(OR($M31=0,$N31=2),0,IF(VLOOKUP($H31,'How the score is generated'!$B$4:$I$73,5,0)="ü",2,0))</f>
        <v>0</v>
      </c>
      <c r="AG31" s="35">
        <f>IF(VLOOKUP($H31,'How the score is generated'!$B$4:$I$73,6,0)="ü",$Q31,0)</f>
        <v>0</v>
      </c>
      <c r="AH31" s="36">
        <f>IF(VLOOKUP($H31,'How the score is generated'!$B$4:$I$73,6,0)="ü",$S31,0)</f>
        <v>0</v>
      </c>
      <c r="AI31" s="145">
        <f>IF(OR($M31=0,$N31=2),0,IF(VLOOKUP($H31,'How the score is generated'!$B$4:$I$73,6,0)="ü",2,0))</f>
        <v>0</v>
      </c>
      <c r="AJ31" s="35">
        <f>IF(VLOOKUP($H31,'How the score is generated'!$B$4:$I$73,7,0)="ü",$Q31,0)</f>
        <v>0</v>
      </c>
      <c r="AK31" s="36">
        <f>IF(VLOOKUP($H31,'How the score is generated'!$B$4:$I$73,7,0)="ü",$S31,0)</f>
        <v>0</v>
      </c>
      <c r="AL31" s="145">
        <f>IF(OR($M31=0,$N31=2),0,IF(VLOOKUP($H31,'How the score is generated'!$B$4:$I$73,7,0)="ü",2,0))</f>
        <v>0</v>
      </c>
      <c r="AM31" s="35">
        <f>IF(VLOOKUP($H31,'How the score is generated'!$B$4:$I$73,8,0)="ü",$Q31,0)</f>
        <v>0</v>
      </c>
      <c r="AN31" s="36">
        <f>IF(VLOOKUP($H31,'How the score is generated'!$B$4:$I$73,8,0)="ü",$S31,0)</f>
        <v>0</v>
      </c>
      <c r="AO31" s="145">
        <f>IF(OR($M31=0,$N31=2),0,IF(VLOOKUP($H31,'How the score is generated'!$B$4:$I$73,8,0)="ü",2,0))</f>
        <v>0</v>
      </c>
      <c r="AP31" s="240"/>
      <c r="AQ31" s="407" t="s">
        <v>1164</v>
      </c>
      <c r="AR31" s="23"/>
      <c r="AS31" s="146"/>
      <c r="AW31" s="34"/>
      <c r="AX31" s="34" t="str">
        <f t="shared" si="9"/>
        <v/>
      </c>
      <c r="AY31" s="34" t="str">
        <f t="shared" si="10"/>
        <v/>
      </c>
      <c r="AZ31" s="34" t="str">
        <f t="shared" si="11"/>
        <v/>
      </c>
      <c r="BA31" s="34" t="str">
        <f t="shared" si="12"/>
        <v>18. Appropriateness and width of shared use with cycles</v>
      </c>
      <c r="BB31" s="35">
        <f>IF(VLOOKUP($H31,'How the score is generated (H)'!$B$4:$H$73,2,0)="ü",$Q31,0)</f>
        <v>0</v>
      </c>
      <c r="BC31" s="36">
        <f>IF(VLOOKUP($H31,'How the score is generated (H)'!$B$4:$H$73,2,0)="ü",$S31,0)</f>
        <v>0</v>
      </c>
      <c r="BD31" s="145">
        <f>IF(OR($M31=0,$N31=2),0,IF(VLOOKUP($H31,'How the score is generated (H)'!$B$4:$H$73,2,0)="ü",2,0))</f>
        <v>2</v>
      </c>
      <c r="BE31" s="35">
        <f>IF(VLOOKUP($H31,'How the score is generated (H)'!$B$4:$H$73,3,0)="ü",$Q31,0)</f>
        <v>0</v>
      </c>
      <c r="BF31" s="36">
        <f>IF(VLOOKUP($H31,'How the score is generated (H)'!$B$4:$H$73,3,0)="ü",$S31,0)</f>
        <v>0</v>
      </c>
      <c r="BG31" s="145">
        <f>IF(OR($M31=0,$N31=2),0,IF(VLOOKUP($H31,'How the score is generated (H)'!$B$4:$H$73,3,0)="ü",2,0))</f>
        <v>2</v>
      </c>
      <c r="BH31" s="35">
        <f>IF(VLOOKUP($H31,'How the score is generated (H)'!$B$4:$H$73,4,0)="ü",$Q31,0)</f>
        <v>0</v>
      </c>
      <c r="BI31" s="36">
        <f>IF(VLOOKUP($H31,'How the score is generated (H)'!$B$4:$H$73,4,0)="ü",$S31,0)</f>
        <v>0</v>
      </c>
      <c r="BJ31" s="145">
        <f>IF(OR($M31=0,$N31=2),0,IF(VLOOKUP($H31,'How the score is generated (H)'!$B$4:$H$73,4,0)="ü",2,0))</f>
        <v>2</v>
      </c>
      <c r="BK31" s="35">
        <f>IF(VLOOKUP($H31,'How the score is generated (H)'!$B$4:$H$73,5,0)="ü",$Q31,0)</f>
        <v>0</v>
      </c>
      <c r="BL31" s="36">
        <f>IF(VLOOKUP($H31,'How the score is generated (H)'!$B$4:$H$73,5,0)="ü",$S31,0)</f>
        <v>0</v>
      </c>
      <c r="BM31" s="145">
        <f>IF(OR($M31=0,$N31=2),0,IF(VLOOKUP($H31,'How the score is generated (H)'!$B$4:$H$73,5,0)="ü",2,0))</f>
        <v>0</v>
      </c>
      <c r="BN31" s="35">
        <f>IF(VLOOKUP($H31,'How the score is generated (H)'!$B$4:$H$73,6,0)="ü",$Q31,0)</f>
        <v>0</v>
      </c>
      <c r="BO31" s="36">
        <f>IF(VLOOKUP($H31,'How the score is generated (H)'!$B$4:$H$73,6,0)="ü",$S31,0)</f>
        <v>0</v>
      </c>
      <c r="BP31" s="145">
        <f>IF(OR($M31=0,$N31=2),0,IF(VLOOKUP($H31,'How the score is generated (H)'!$B$4:$H$73,6,0)="ü",2,0))</f>
        <v>2</v>
      </c>
      <c r="BQ31" s="35">
        <f>IF(VLOOKUP($H31,'How the score is generated (H)'!$B$4:$H$73,7,0)="ü",$Q31,0)</f>
        <v>0</v>
      </c>
      <c r="BR31" s="36">
        <f>IF(VLOOKUP($H31,'How the score is generated (H)'!$B$4:$H$73,7,0)="ü",$S31,0)</f>
        <v>0</v>
      </c>
      <c r="BS31" s="145">
        <f>IF(OR($M31=0,$N31=2),0,IF(VLOOKUP($H31,'How the score is generated (H)'!$B$4:$H$73,7,0)="ü",2,0))</f>
        <v>0</v>
      </c>
      <c r="BT31" s="240"/>
      <c r="BU31" s="35">
        <f>IF(VLOOKUP($H31,'How the score is generated (P)'!$B$4:$I$73,2,0)="ü",$Q31,0)</f>
        <v>0</v>
      </c>
      <c r="BV31" s="36">
        <f>IF(VLOOKUP($H31,'How the score is generated (P)'!$B$4:$I$73,2,0)="ü",$S31,0)</f>
        <v>0</v>
      </c>
      <c r="BW31" s="145">
        <f>IF(OR($M31=0,$N31=2),0,IF(VLOOKUP($H31,'How the score is generated (P)'!$B$4:$I$73,2,0)="ü",2,0))</f>
        <v>0</v>
      </c>
      <c r="BX31" s="35">
        <f>IF(VLOOKUP($H31,'How the score is generated (P)'!$B$4:$I$73,3,0)="ü",$Q31,0)</f>
        <v>0</v>
      </c>
      <c r="BY31" s="36">
        <f>IF(VLOOKUP($H31,'How the score is generated (P)'!$B$4:$I$73,3,0)="ü",$S31,0)</f>
        <v>0</v>
      </c>
      <c r="BZ31" s="145">
        <f>IF(OR($M31=0,$N31=2),0,IF(VLOOKUP($H31,'How the score is generated (P)'!$B$4:$I$73,3,0)="ü",2,0))</f>
        <v>0</v>
      </c>
      <c r="CA31" s="35">
        <f>IF(VLOOKUP($H31,'How the score is generated (P)'!$B$4:$I$73,4,0)="ü",$Q31,0)</f>
        <v>0</v>
      </c>
      <c r="CB31" s="36">
        <f>IF(VLOOKUP($H31,'How the score is generated (P)'!$B$4:$I$73,4,0)="ü",$S31,0)</f>
        <v>0</v>
      </c>
      <c r="CC31" s="145">
        <f>IF(OR($M31=0,$N31=2),0,IF(VLOOKUP($H31,'How the score is generated (P)'!$B$4:$I$73,4,0)="ü",2,0))</f>
        <v>0</v>
      </c>
      <c r="CD31" s="35">
        <f>IF(VLOOKUP($H31,'How the score is generated (P)'!$B$4:$I$73,5,0)="ü",$Q31,0)</f>
        <v>0</v>
      </c>
      <c r="CE31" s="36">
        <f>IF(VLOOKUP($H31,'How the score is generated (P)'!$B$4:$I$73,5,0)="ü",$S31,0)</f>
        <v>0</v>
      </c>
      <c r="CF31" s="145">
        <f>IF(OR($M31=0,$N31=2),0,IF(VLOOKUP($H31,'How the score is generated (P)'!$B$4:$I$73,5,0)="ü",2,0))</f>
        <v>2</v>
      </c>
      <c r="CG31" s="35">
        <f>IF(VLOOKUP($H31,'How the score is generated (P)'!$B$4:$I$73,6,0)="ü",$Q31,0)</f>
        <v>0</v>
      </c>
      <c r="CH31" s="36">
        <f>IF(VLOOKUP($H31,'How the score is generated (P)'!$B$4:$I$73,6,0)="ü",$S31,0)</f>
        <v>0</v>
      </c>
      <c r="CI31" s="145">
        <f>IF(OR($M31=0,$N31=2),0,IF(VLOOKUP($H31,'How the score is generated (P)'!$B$4:$I$73,6,0)="ü",2,0))</f>
        <v>2</v>
      </c>
      <c r="CJ31" s="35">
        <f>IF(VLOOKUP($H31,'How the score is generated (P)'!$B$4:$I$73,7,0)="ü",$Q31,0)</f>
        <v>0</v>
      </c>
      <c r="CK31" s="36">
        <f>IF(VLOOKUP($H31,'How the score is generated (P)'!$B$4:$I$73,7,0)="ü",$S31,0)</f>
        <v>0</v>
      </c>
      <c r="CL31" s="145">
        <f>IF(OR($M31=0,$N31=2),0,IF(VLOOKUP($H31,'How the score is generated (P)'!$B$4:$I$73,7,0)="ü",2,0))</f>
        <v>2</v>
      </c>
      <c r="CM31" s="35">
        <f>IF(VLOOKUP($H31,'How the score is generated (P)'!$B$4:$I$73,8,0)="ü",$Q31,0)</f>
        <v>0</v>
      </c>
      <c r="CN31" s="36">
        <f>IF(VLOOKUP($H31,'How the score is generated (P)'!$B$4:$I$73,8,0)="ü",$S31,0)</f>
        <v>0</v>
      </c>
      <c r="CO31" s="145">
        <f>IF(OR($M31=0,$N31=2),0,IF(VLOOKUP($H31,'How the score is generated (P)'!$B$4:$I$73,8,0)="ü",2,0))</f>
        <v>0</v>
      </c>
      <c r="CP31" s="300"/>
    </row>
    <row r="32" spans="1:94" ht="15" hidden="1" thickBot="1" x14ac:dyDescent="0.4">
      <c r="A32" s="23"/>
      <c r="B32" s="31"/>
      <c r="C32" s="47"/>
      <c r="D32" s="47"/>
      <c r="E32" s="47"/>
      <c r="F32" s="47"/>
      <c r="G32" s="171" t="s">
        <v>940</v>
      </c>
      <c r="H32" s="172"/>
      <c r="I32" s="172"/>
      <c r="J32" s="172"/>
      <c r="K32" s="172"/>
      <c r="L32" s="172"/>
      <c r="M32" s="48"/>
      <c r="N32" s="48"/>
      <c r="O32" s="49" t="str">
        <f>Q32&amp;"/"&amp;R32</f>
        <v>0/14</v>
      </c>
      <c r="P32" s="49" t="str">
        <f>S32&amp;"/"&amp;T32</f>
        <v>0/14</v>
      </c>
      <c r="Q32" s="51">
        <f>SUM(Q25:Q31)</f>
        <v>0</v>
      </c>
      <c r="R32" s="51">
        <f>SUM(R25:R31)</f>
        <v>14</v>
      </c>
      <c r="S32" s="51">
        <f>SUM(S25:S31)</f>
        <v>0</v>
      </c>
      <c r="T32" s="51">
        <f>SUM(T25:T31)</f>
        <v>14</v>
      </c>
      <c r="U32" s="54"/>
      <c r="V32" s="56"/>
      <c r="W32" s="56"/>
      <c r="X32" s="54"/>
      <c r="Y32" s="56"/>
      <c r="Z32" s="56"/>
      <c r="AA32" s="54"/>
      <c r="AB32" s="56"/>
      <c r="AC32" s="56"/>
      <c r="AD32" s="54"/>
      <c r="AE32" s="56"/>
      <c r="AF32" s="56"/>
      <c r="AG32" s="54"/>
      <c r="AH32" s="56"/>
      <c r="AI32" s="56"/>
      <c r="AJ32" s="54"/>
      <c r="AK32" s="56"/>
      <c r="AL32" s="56"/>
      <c r="AM32" s="54"/>
      <c r="AN32" s="56"/>
      <c r="AO32" s="56"/>
      <c r="AP32" s="240"/>
      <c r="AQ32" s="76"/>
      <c r="AR32" s="23"/>
      <c r="AS32" s="321"/>
      <c r="AW32" s="51"/>
      <c r="AX32" s="51"/>
      <c r="AY32" s="51"/>
      <c r="AZ32" s="51"/>
      <c r="BA32" s="51"/>
      <c r="BB32" s="54"/>
      <c r="BC32" s="56"/>
      <c r="BD32" s="56"/>
      <c r="BE32" s="54"/>
      <c r="BF32" s="56"/>
      <c r="BG32" s="56"/>
      <c r="BH32" s="54"/>
      <c r="BI32" s="56"/>
      <c r="BJ32" s="56"/>
      <c r="BK32" s="54"/>
      <c r="BL32" s="56"/>
      <c r="BM32" s="56"/>
      <c r="BN32" s="54"/>
      <c r="BO32" s="56"/>
      <c r="BP32" s="145">
        <f>IF(OR($M32=0,$N32=2),0,IF(VLOOKUP($H32,'How the score is generated (H)'!$B$4:$H$73,6,0)="ü",2,0))</f>
        <v>0</v>
      </c>
      <c r="BQ32" s="54"/>
      <c r="BR32" s="56"/>
      <c r="BS32" s="145">
        <f>IF(OR($M32=0,$N32=2),0,IF(VLOOKUP($H32,'How the score is generated (H)'!$B$4:$H$73,7,0)="ü",2,0))</f>
        <v>0</v>
      </c>
      <c r="BT32" s="240"/>
      <c r="BU32" s="54"/>
      <c r="BV32" s="56"/>
      <c r="BW32" s="145">
        <f>IF(OR($M32=0,$N32=2),0,IF(VLOOKUP($H32,'How the score is generated (P)'!$B$4:$I$73,2,0)="ü",2,0))</f>
        <v>0</v>
      </c>
      <c r="BX32" s="54"/>
      <c r="BY32" s="56"/>
      <c r="BZ32" s="145">
        <f>IF(OR($M32=0,$N32=2),0,IF(VLOOKUP($H32,'How the score is generated (P)'!$B$4:$I$73,3,0)="ü",2,0))</f>
        <v>0</v>
      </c>
      <c r="CA32" s="54"/>
      <c r="CB32" s="56"/>
      <c r="CC32" s="145">
        <f>IF(OR($M32=0,$N32=2),0,IF(VLOOKUP($H32,'How the score is generated (P)'!$B$4:$I$73,4,0)="ü",2,0))</f>
        <v>0</v>
      </c>
      <c r="CD32" s="54"/>
      <c r="CE32" s="56"/>
      <c r="CF32" s="56"/>
      <c r="CG32" s="56"/>
      <c r="CH32" s="56"/>
      <c r="CI32" s="56"/>
      <c r="CJ32" s="56"/>
      <c r="CK32" s="56"/>
      <c r="CL32" s="56"/>
      <c r="CM32" s="56"/>
      <c r="CN32" s="56"/>
      <c r="CO32" s="56"/>
    </row>
    <row r="33" spans="1:94" ht="21.5" thickBot="1" x14ac:dyDescent="0.4">
      <c r="A33" s="23"/>
      <c r="B33" s="57"/>
      <c r="C33" s="58"/>
      <c r="D33" s="58"/>
      <c r="E33" s="58"/>
      <c r="F33" s="58"/>
      <c r="G33" s="59"/>
      <c r="H33" s="59"/>
      <c r="I33" s="67"/>
      <c r="J33" s="61"/>
      <c r="K33" s="61"/>
      <c r="L33" s="61"/>
      <c r="M33" s="61"/>
      <c r="N33" s="61"/>
      <c r="O33" s="61"/>
      <c r="P33" s="61"/>
      <c r="Q33" s="61"/>
      <c r="R33" s="61"/>
      <c r="S33" s="61"/>
      <c r="T33" s="61"/>
      <c r="U33" s="54"/>
      <c r="V33" s="23"/>
      <c r="W33" s="23"/>
      <c r="X33" s="54"/>
      <c r="Y33" s="23"/>
      <c r="Z33" s="23"/>
      <c r="AA33" s="54"/>
      <c r="AB33" s="23"/>
      <c r="AC33" s="23"/>
      <c r="AD33" s="54"/>
      <c r="AE33" s="23"/>
      <c r="AF33" s="23"/>
      <c r="AG33" s="54"/>
      <c r="AH33" s="23"/>
      <c r="AI33" s="23"/>
      <c r="AJ33" s="54"/>
      <c r="AK33" s="23"/>
      <c r="AL33" s="23"/>
      <c r="AM33" s="54"/>
      <c r="AN33" s="23"/>
      <c r="AO33" s="23"/>
      <c r="AP33" s="23"/>
      <c r="AQ33" s="76"/>
      <c r="AR33" s="23"/>
      <c r="AS33" s="321"/>
      <c r="AW33" s="61"/>
      <c r="AX33" s="61"/>
      <c r="AY33" s="61"/>
      <c r="AZ33" s="61"/>
      <c r="BA33" s="61"/>
      <c r="BB33" s="54"/>
      <c r="BC33" s="23"/>
      <c r="BD33" s="23"/>
      <c r="BE33" s="54"/>
      <c r="BF33" s="23"/>
      <c r="BG33" s="23"/>
      <c r="BH33" s="54"/>
      <c r="BI33" s="23"/>
      <c r="BJ33" s="23"/>
      <c r="BK33" s="54"/>
      <c r="BL33" s="23"/>
      <c r="BM33" s="23"/>
      <c r="BN33" s="54"/>
      <c r="BO33" s="23"/>
      <c r="BP33" s="23"/>
      <c r="BQ33" s="54"/>
      <c r="BR33" s="23"/>
      <c r="BS33" s="23"/>
      <c r="BT33" s="23"/>
      <c r="BU33" s="54"/>
      <c r="BV33" s="23"/>
      <c r="BW33" s="23"/>
      <c r="BX33" s="54"/>
      <c r="BY33" s="23"/>
      <c r="BZ33" s="23"/>
      <c r="CA33" s="54"/>
      <c r="CB33" s="23"/>
      <c r="CC33" s="23"/>
      <c r="CD33" s="54"/>
      <c r="CE33" s="23"/>
      <c r="CF33" s="23"/>
      <c r="CG33" s="23"/>
      <c r="CH33" s="23"/>
      <c r="CI33" s="23"/>
      <c r="CJ33" s="23"/>
      <c r="CK33" s="23"/>
      <c r="CL33" s="23"/>
      <c r="CM33" s="23"/>
      <c r="CN33" s="23"/>
      <c r="CO33" s="23"/>
    </row>
    <row r="34" spans="1:94" ht="19" thickBot="1" x14ac:dyDescent="0.4">
      <c r="A34" s="23"/>
      <c r="B34" s="62"/>
      <c r="C34" s="27"/>
      <c r="D34" s="27"/>
      <c r="E34" s="27"/>
      <c r="F34" s="27"/>
      <c r="G34" s="522" t="s">
        <v>936</v>
      </c>
      <c r="H34" s="522"/>
      <c r="I34" s="522"/>
      <c r="J34" s="522"/>
      <c r="K34" s="522"/>
      <c r="L34" s="522"/>
      <c r="M34" s="28"/>
      <c r="N34" s="28"/>
      <c r="O34" s="28" t="s">
        <v>32</v>
      </c>
      <c r="P34" s="29" t="s">
        <v>33</v>
      </c>
      <c r="Q34" s="30"/>
      <c r="R34" s="30"/>
      <c r="S34" s="30"/>
      <c r="T34" s="30"/>
      <c r="U34" s="54"/>
      <c r="V34" s="23"/>
      <c r="W34" s="23"/>
      <c r="X34" s="54"/>
      <c r="Y34" s="23"/>
      <c r="Z34" s="23"/>
      <c r="AA34" s="54"/>
      <c r="AB34" s="23"/>
      <c r="AC34" s="23"/>
      <c r="AD34" s="54"/>
      <c r="AE34" s="23"/>
      <c r="AF34" s="23"/>
      <c r="AG34" s="54"/>
      <c r="AH34" s="23"/>
      <c r="AI34" s="23"/>
      <c r="AJ34" s="54"/>
      <c r="AK34" s="23"/>
      <c r="AL34" s="23"/>
      <c r="AM34" s="54"/>
      <c r="AN34" s="23"/>
      <c r="AO34" s="23"/>
      <c r="AP34" s="23"/>
      <c r="AQ34" s="76"/>
      <c r="AR34" s="23"/>
      <c r="AS34" s="321"/>
      <c r="AW34" s="30"/>
      <c r="AX34" s="30"/>
      <c r="AY34" s="30"/>
      <c r="AZ34" s="30"/>
      <c r="BA34" s="30"/>
      <c r="BB34" s="54"/>
      <c r="BC34" s="23"/>
      <c r="BD34" s="23"/>
      <c r="BE34" s="54"/>
      <c r="BF34" s="23"/>
      <c r="BG34" s="23"/>
      <c r="BH34" s="54"/>
      <c r="BI34" s="23"/>
      <c r="BJ34" s="23"/>
      <c r="BK34" s="54"/>
      <c r="BL34" s="23"/>
      <c r="BM34" s="23"/>
      <c r="BN34" s="54"/>
      <c r="BO34" s="23"/>
      <c r="BP34" s="23"/>
      <c r="BQ34" s="54"/>
      <c r="BR34" s="23"/>
      <c r="BS34" s="23"/>
      <c r="BT34" s="23"/>
      <c r="BU34" s="54"/>
      <c r="BV34" s="23"/>
      <c r="BW34" s="23"/>
      <c r="BX34" s="54"/>
      <c r="BY34" s="23"/>
      <c r="BZ34" s="23"/>
      <c r="CA34" s="54"/>
      <c r="CB34" s="23"/>
      <c r="CC34" s="23"/>
      <c r="CD34" s="54"/>
      <c r="CE34" s="23"/>
      <c r="CF34" s="23"/>
      <c r="CG34" s="23"/>
      <c r="CH34" s="23"/>
      <c r="CI34" s="23"/>
      <c r="CJ34" s="23"/>
      <c r="CK34" s="23"/>
      <c r="CL34" s="23"/>
      <c r="CM34" s="23"/>
      <c r="CN34" s="23"/>
      <c r="CO34" s="23"/>
    </row>
    <row r="35" spans="1:94" ht="80.5" customHeight="1" thickBot="1" x14ac:dyDescent="0.4">
      <c r="A35" s="23"/>
      <c r="B35" s="31"/>
      <c r="C35" s="68" t="str">
        <f>Validation!$S$5</f>
        <v xml:space="preserve">Group 4. Cycling provision </v>
      </c>
      <c r="D35" s="163">
        <f>D31+1</f>
        <v>19</v>
      </c>
      <c r="E35" s="33" t="s">
        <v>39</v>
      </c>
      <c r="F35" s="167" t="s">
        <v>20</v>
      </c>
      <c r="G35" s="173" t="s">
        <v>1279</v>
      </c>
      <c r="H35" s="174" t="s">
        <v>1165</v>
      </c>
      <c r="I35" s="175" t="s">
        <v>1064</v>
      </c>
      <c r="J35" s="174" t="s">
        <v>1065</v>
      </c>
      <c r="K35" s="174" t="s">
        <v>978</v>
      </c>
      <c r="L35" s="176" t="s">
        <v>1066</v>
      </c>
      <c r="M35" s="170">
        <f>IF(Project!$B$27="Off-Street",0,1)</f>
        <v>1</v>
      </c>
      <c r="N35" s="425">
        <f t="shared" ref="N35:N45" si="14">IF(AND(O35="N/A",P35="N/A"),2,0)</f>
        <v>0</v>
      </c>
      <c r="O35" s="237"/>
      <c r="P35" s="144"/>
      <c r="Q35" s="441">
        <f>IF(OR($M35=0,$O35="N/A"),"NA",VLOOKUP($O35,Validation!$D$2:$E$7,2,0))</f>
        <v>0</v>
      </c>
      <c r="R35" s="129">
        <f t="shared" ref="R35:R45" si="15">IF(OR($M35=0,$O35="N/A"),0,2)</f>
        <v>2</v>
      </c>
      <c r="S35" s="441">
        <f>IF(OR($M35=0,$P35="N/A"),"NA",VLOOKUP($P35,Validation!$D$2:$E$7,2,0))</f>
        <v>0</v>
      </c>
      <c r="T35" s="34">
        <f t="shared" ref="T35:T45" si="16">IF(OR($M35=0,$P35="N/A"),0,2)</f>
        <v>2</v>
      </c>
      <c r="U35" s="35">
        <f>IF(VLOOKUP($H35,'How the score is generated'!$B$4:$I$73,2,0)="ü",$Q35,0)</f>
        <v>0</v>
      </c>
      <c r="V35" s="36">
        <f>IF(VLOOKUP($H35,'How the score is generated'!$B$4:$I$73,2,0)="ü",$S35,0)</f>
        <v>0</v>
      </c>
      <c r="W35" s="145">
        <f>IF(OR($M35=0,$N35=2),0,IF(VLOOKUP($H35,'How the score is generated'!$B$4:$I$73,2,0)="ü",2,0))</f>
        <v>0</v>
      </c>
      <c r="X35" s="35">
        <f>IF(VLOOKUP($H35,'How the score is generated'!$B$4:$I$73,3,0)="ü",$Q35,0)</f>
        <v>0</v>
      </c>
      <c r="Y35" s="36">
        <f>IF(VLOOKUP($H35,'How the score is generated'!$B$4:$I$73,3,0)="ü",$S35,0)</f>
        <v>0</v>
      </c>
      <c r="Z35" s="145">
        <f>IF(OR($M35=0,$N35=2),0,IF(VLOOKUP($H35,'How the score is generated'!$B$4:$I$73,3,0)="ü",2,0))</f>
        <v>0</v>
      </c>
      <c r="AA35" s="35">
        <f>IF(VLOOKUP($H35,'How the score is generated'!$B$4:$I$73,4,0)="ü",$Q35,0)</f>
        <v>0</v>
      </c>
      <c r="AB35" s="36">
        <f>IF(VLOOKUP($H35,'How the score is generated'!$B$4:$I$73,4,0)="ü",$S35,0)</f>
        <v>0</v>
      </c>
      <c r="AC35" s="145">
        <f>IF(OR($M35=0,$N35=2),0,IF(VLOOKUP($H35,'How the score is generated'!$B$4:$I$73,4,0)="ü",2,0))</f>
        <v>2</v>
      </c>
      <c r="AD35" s="35">
        <f>IF(VLOOKUP($H35,'How the score is generated'!$B$4:$I$73,5,0)="ü",$Q35,0)</f>
        <v>0</v>
      </c>
      <c r="AE35" s="36">
        <f>IF(VLOOKUP($H35,'How the score is generated'!$B$4:$I$73,5,0)="ü",$S35,0)</f>
        <v>0</v>
      </c>
      <c r="AF35" s="145">
        <f>IF(OR($M35=0,$N35=2),0,IF(VLOOKUP($H35,'How the score is generated'!$B$4:$I$73,5,0)="ü",2,0))</f>
        <v>0</v>
      </c>
      <c r="AG35" s="35">
        <f>IF(VLOOKUP($H35,'How the score is generated'!$B$4:$I$73,6,0)="ü",$Q35,0)</f>
        <v>0</v>
      </c>
      <c r="AH35" s="36">
        <f>IF(VLOOKUP($H35,'How the score is generated'!$B$4:$I$73,6,0)="ü",$S35,0)</f>
        <v>0</v>
      </c>
      <c r="AI35" s="145">
        <f>IF(OR($M35=0,$N35=2),0,IF(VLOOKUP($H35,'How the score is generated'!$B$4:$I$73,6,0)="ü",2,0))</f>
        <v>0</v>
      </c>
      <c r="AJ35" s="35">
        <f>IF(VLOOKUP($H35,'How the score is generated'!$B$4:$I$73,7,0)="ü",$Q35,0)</f>
        <v>0</v>
      </c>
      <c r="AK35" s="36">
        <f>IF(VLOOKUP($H35,'How the score is generated'!$B$4:$I$73,7,0)="ü",$S35,0)</f>
        <v>0</v>
      </c>
      <c r="AL35" s="145">
        <f>IF(OR($M35=0,$N35=2),0,IF(VLOOKUP($H35,'How the score is generated'!$B$4:$I$73,7,0)="ü",2,0))</f>
        <v>0</v>
      </c>
      <c r="AM35" s="35">
        <f>IF(VLOOKUP($H35,'How the score is generated'!$B$4:$I$73,8,0)="ü",$Q35,0)</f>
        <v>0</v>
      </c>
      <c r="AN35" s="36">
        <f>IF(VLOOKUP($H35,'How the score is generated'!$B$4:$I$73,8,0)="ü",$S35,0)</f>
        <v>0</v>
      </c>
      <c r="AO35" s="145">
        <f>IF(OR($M35=0,$N35=2),0,IF(VLOOKUP($H35,'How the score is generated'!$B$4:$I$73,8,0)="ü",2,0))</f>
        <v>0</v>
      </c>
      <c r="AP35" s="23"/>
      <c r="AQ35" s="404" t="s">
        <v>1240</v>
      </c>
      <c r="AR35" s="23"/>
      <c r="AS35" s="381"/>
      <c r="AW35" s="34"/>
      <c r="AX35" s="34" t="str">
        <f t="shared" ref="AX35:AX45" si="17">IF(AW35="Amber",IF(S35=0,"Residual Amber",""),"")</f>
        <v/>
      </c>
      <c r="AY35" s="34" t="str">
        <f t="shared" ref="AY35:AY45" si="18">IF(M35=0,"",IF(O35="","",O35))</f>
        <v/>
      </c>
      <c r="AZ35" s="34" t="str">
        <f t="shared" ref="AZ35:AZ45" si="19">IF(M35=0,"",IF(P35="","",P35))</f>
        <v/>
      </c>
      <c r="BA35" s="34" t="str">
        <f t="shared" ref="BA35:BA45" si="20">D35&amp;". "&amp;H35</f>
        <v>19. Speed at which drivers travel</v>
      </c>
      <c r="BB35" s="35">
        <f>IF(VLOOKUP($H35,'How the score is generated (H)'!$B$4:$H$73,2,0)="ü",$Q35,0)</f>
        <v>0</v>
      </c>
      <c r="BC35" s="36">
        <f>IF(VLOOKUP($H35,'How the score is generated (H)'!$B$4:$H$73,2,0)="ü",$S35,0)</f>
        <v>0</v>
      </c>
      <c r="BD35" s="145">
        <f>IF(OR($M35=0,$N35=2),0,IF(VLOOKUP($H35,'How the score is generated (H)'!$B$4:$H$73,2,0)="ü",2,0))</f>
        <v>0</v>
      </c>
      <c r="BE35" s="35">
        <f>IF(VLOOKUP($H35,'How the score is generated (H)'!$B$4:$H$73,3,0)="ü",$Q35,0)</f>
        <v>0</v>
      </c>
      <c r="BF35" s="36">
        <f>IF(VLOOKUP($H35,'How the score is generated (H)'!$B$4:$H$73,3,0)="ü",$S35,0)</f>
        <v>0</v>
      </c>
      <c r="BG35" s="145">
        <f>IF(OR($M35=0,$N35=2),0,IF(VLOOKUP($H35,'How the score is generated (H)'!$B$4:$H$73,3,0)="ü",2,0))</f>
        <v>0</v>
      </c>
      <c r="BH35" s="35">
        <f>IF(VLOOKUP($H35,'How the score is generated (H)'!$B$4:$H$73,4,0)="ü",$Q35,0)</f>
        <v>0</v>
      </c>
      <c r="BI35" s="36">
        <f>IF(VLOOKUP($H35,'How the score is generated (H)'!$B$4:$H$73,4,0)="ü",$S35,0)</f>
        <v>0</v>
      </c>
      <c r="BJ35" s="145">
        <f>IF(OR($M35=0,$N35=2),0,IF(VLOOKUP($H35,'How the score is generated (H)'!$B$4:$H$73,4,0)="ü",2,0))</f>
        <v>2</v>
      </c>
      <c r="BK35" s="35">
        <f>IF(VLOOKUP($H35,'How the score is generated (H)'!$B$4:$H$73,5,0)="ü",$Q35,0)</f>
        <v>0</v>
      </c>
      <c r="BL35" s="36">
        <f>IF(VLOOKUP($H35,'How the score is generated (H)'!$B$4:$H$73,5,0)="ü",$S35,0)</f>
        <v>0</v>
      </c>
      <c r="BM35" s="145">
        <f>IF(OR($M35=0,$N35=2),0,IF(VLOOKUP($H35,'How the score is generated (H)'!$B$4:$H$73,5,0)="ü",2,0))</f>
        <v>0</v>
      </c>
      <c r="BN35" s="35">
        <f>IF(VLOOKUP($H35,'How the score is generated (H)'!$B$4:$H$73,6,0)="ü",$Q35,0)</f>
        <v>0</v>
      </c>
      <c r="BO35" s="36">
        <f>IF(VLOOKUP($H35,'How the score is generated (H)'!$B$4:$H$73,6,0)="ü",$S35,0)</f>
        <v>0</v>
      </c>
      <c r="BP35" s="145">
        <f>IF(OR($M35=0,$N35=2),0,IF(VLOOKUP($H35,'How the score is generated (H)'!$B$4:$H$73,6,0)="ü",2,0))</f>
        <v>0</v>
      </c>
      <c r="BQ35" s="35">
        <f>IF(VLOOKUP($H35,'How the score is generated (H)'!$B$4:$H$73,7,0)="ü",$Q35,0)</f>
        <v>0</v>
      </c>
      <c r="BR35" s="36">
        <f>IF(VLOOKUP($H35,'How the score is generated (H)'!$B$4:$H$73,7,0)="ü",$S35,0)</f>
        <v>0</v>
      </c>
      <c r="BS35" s="145">
        <f>IF(OR($M35=0,$N35=2),0,IF(VLOOKUP($H35,'How the score is generated (H)'!$B$4:$H$73,7,0)="ü",2,0))</f>
        <v>2</v>
      </c>
      <c r="BT35" s="23"/>
      <c r="BU35" s="35">
        <f>IF(VLOOKUP($H35,'How the score is generated (P)'!$B$4:$I$73,2,0)="ü",$Q35,0)</f>
        <v>0</v>
      </c>
      <c r="BV35" s="36">
        <f>IF(VLOOKUP($H35,'How the score is generated (P)'!$B$4:$I$73,2,0)="ü",$S35,0)</f>
        <v>0</v>
      </c>
      <c r="BW35" s="145">
        <f>IF(OR($M35=0,$N35=2),0,IF(VLOOKUP($H35,'How the score is generated (P)'!$B$4:$I$73,2,0)="ü",2,0))</f>
        <v>2</v>
      </c>
      <c r="BX35" s="35">
        <f>IF(VLOOKUP($H35,'How the score is generated (P)'!$B$4:$I$73,3,0)="ü",$Q35,0)</f>
        <v>0</v>
      </c>
      <c r="BY35" s="36">
        <f>IF(VLOOKUP($H35,'How the score is generated (P)'!$B$4:$I$73,3,0)="ü",$S35,0)</f>
        <v>0</v>
      </c>
      <c r="BZ35" s="145">
        <f>IF(OR($M35=0,$N35=2),0,IF(VLOOKUP($H35,'How the score is generated (P)'!$B$4:$I$73,3,0)="ü",2,0))</f>
        <v>0</v>
      </c>
      <c r="CA35" s="35">
        <f>IF(VLOOKUP($H35,'How the score is generated (P)'!$B$4:$I$73,4,0)="ü",$Q35,0)</f>
        <v>0</v>
      </c>
      <c r="CB35" s="36">
        <f>IF(VLOOKUP($H35,'How the score is generated (P)'!$B$4:$I$73,4,0)="ü",$S35,0)</f>
        <v>0</v>
      </c>
      <c r="CC35" s="145">
        <f>IF(OR($M35=0,$N35=2),0,IF(VLOOKUP($H35,'How the score is generated (P)'!$B$4:$I$73,4,0)="ü",2,0))</f>
        <v>0</v>
      </c>
      <c r="CD35" s="35">
        <f>IF(VLOOKUP($H35,'How the score is generated (P)'!$B$4:$I$73,5,0)="ü",$Q35,0)</f>
        <v>0</v>
      </c>
      <c r="CE35" s="36">
        <f>IF(VLOOKUP($H35,'How the score is generated (P)'!$B$4:$I$73,5,0)="ü",$S35,0)</f>
        <v>0</v>
      </c>
      <c r="CF35" s="145">
        <f>IF(OR($M35=0,$N35=2),0,IF(VLOOKUP($H35,'How the score is generated (P)'!$B$4:$I$73,5,0)="ü",2,0))</f>
        <v>0</v>
      </c>
      <c r="CG35" s="35">
        <f>IF(VLOOKUP($H35,'How the score is generated (P)'!$B$4:$I$73,6,0)="ü",$Q35,0)</f>
        <v>0</v>
      </c>
      <c r="CH35" s="36">
        <f>IF(VLOOKUP($H35,'How the score is generated (P)'!$B$4:$I$73,6,0)="ü",$S35,0)</f>
        <v>0</v>
      </c>
      <c r="CI35" s="145">
        <f>IF(OR($M35=0,$N35=2),0,IF(VLOOKUP($H35,'How the score is generated (P)'!$B$4:$I$73,6,0)="ü",2,0))</f>
        <v>0</v>
      </c>
      <c r="CJ35" s="35">
        <f>IF(VLOOKUP($H35,'How the score is generated (P)'!$B$4:$I$73,7,0)="ü",$Q35,0)</f>
        <v>0</v>
      </c>
      <c r="CK35" s="36">
        <f>IF(VLOOKUP($H35,'How the score is generated (P)'!$B$4:$I$73,7,0)="ü",$S35,0)</f>
        <v>0</v>
      </c>
      <c r="CL35" s="145">
        <f>IF(OR($M35=0,$N35=2),0,IF(VLOOKUP($H35,'How the score is generated (P)'!$B$4:$I$73,7,0)="ü",2,0))</f>
        <v>0</v>
      </c>
      <c r="CM35" s="35">
        <f>IF(VLOOKUP($H35,'How the score is generated (P)'!$B$4:$I$73,8,0)="ü",$Q35,0)</f>
        <v>0</v>
      </c>
      <c r="CN35" s="36">
        <f>IF(VLOOKUP($H35,'How the score is generated (P)'!$B$4:$I$73,8,0)="ü",$S35,0)</f>
        <v>0</v>
      </c>
      <c r="CO35" s="145">
        <f>IF(OR($M35=0,$N35=2),0,IF(VLOOKUP($H35,'How the score is generated (P)'!$B$4:$I$73,8,0)="ü",2,0))</f>
        <v>0</v>
      </c>
      <c r="CP35" s="300" t="s">
        <v>1067</v>
      </c>
    </row>
    <row r="36" spans="1:94" ht="72" customHeight="1" thickBot="1" x14ac:dyDescent="0.4">
      <c r="A36" s="23"/>
      <c r="B36" s="31"/>
      <c r="C36" s="68" t="str">
        <f>Validation!$S$5</f>
        <v xml:space="preserve">Group 4. Cycling provision </v>
      </c>
      <c r="D36" s="164">
        <f t="shared" ref="D36:D41" si="21">D35+1</f>
        <v>20</v>
      </c>
      <c r="E36" s="44" t="s">
        <v>39</v>
      </c>
      <c r="F36" s="168" t="s">
        <v>20</v>
      </c>
      <c r="G36" s="39" t="s">
        <v>951</v>
      </c>
      <c r="H36" s="41" t="s">
        <v>950</v>
      </c>
      <c r="I36" s="40" t="s">
        <v>1291</v>
      </c>
      <c r="J36" s="41" t="s">
        <v>1068</v>
      </c>
      <c r="K36" s="41" t="s">
        <v>1069</v>
      </c>
      <c r="L36" s="42" t="s">
        <v>1050</v>
      </c>
      <c r="M36" s="170">
        <f>IF(Project!$B$27="Off-Street",0,1)</f>
        <v>1</v>
      </c>
      <c r="N36" s="425">
        <f>IF(AND(O36="N/A",P36="N/A"),2,0)</f>
        <v>0</v>
      </c>
      <c r="O36" s="237"/>
      <c r="P36" s="144"/>
      <c r="Q36" s="441">
        <f>IF(OR($M36=0,$O36="N/A"),"NA",VLOOKUP($O36,Validation!$D$2:$E$7,2,0))</f>
        <v>0</v>
      </c>
      <c r="R36" s="129">
        <f>IF(OR($M36=0,$O36="N/A"),0,2)</f>
        <v>2</v>
      </c>
      <c r="S36" s="441">
        <f>IF(OR($M36=0,$P36="N/A"),"NA",VLOOKUP($P36,Validation!$D$2:$E$7,2,0))</f>
        <v>0</v>
      </c>
      <c r="T36" s="34">
        <f>IF(OR($M36=0,$P36="N/A"),0,2)</f>
        <v>2</v>
      </c>
      <c r="U36" s="35">
        <f>IF(VLOOKUP($H36,'How the score is generated'!$B$4:$I$73,2,0)="ü",$Q36,0)</f>
        <v>0</v>
      </c>
      <c r="V36" s="36">
        <f>IF(VLOOKUP($H36,'How the score is generated'!$B$4:$I$73,2,0)="ü",$S36,0)</f>
        <v>0</v>
      </c>
      <c r="W36" s="145">
        <f>IF(OR($M36=0,$N36=2),0,IF(VLOOKUP($H36,'How the score is generated'!$B$4:$I$73,2,0)="ü",2,0))</f>
        <v>0</v>
      </c>
      <c r="X36" s="35">
        <f>IF(VLOOKUP($H36,'How the score is generated'!$B$4:$I$73,3,0)="ü",$Q36,0)</f>
        <v>0</v>
      </c>
      <c r="Y36" s="36">
        <f>IF(VLOOKUP($H36,'How the score is generated'!$B$4:$I$73,3,0)="ü",$S36,0)</f>
        <v>0</v>
      </c>
      <c r="Z36" s="145">
        <f>IF(OR($M36=0,$N36=2),0,IF(VLOOKUP($H36,'How the score is generated'!$B$4:$I$73,3,0)="ü",2,0))</f>
        <v>0</v>
      </c>
      <c r="AA36" s="35">
        <f>IF(VLOOKUP($H36,'How the score is generated'!$B$4:$I$73,4,0)="ü",$Q36,0)</f>
        <v>0</v>
      </c>
      <c r="AB36" s="36">
        <f>IF(VLOOKUP($H36,'How the score is generated'!$B$4:$I$73,4,0)="ü",$S36,0)</f>
        <v>0</v>
      </c>
      <c r="AC36" s="145">
        <f>IF(OR($M36=0,$N36=2),0,IF(VLOOKUP($H36,'How the score is generated'!$B$4:$I$73,4,0)="ü",2,0))</f>
        <v>2</v>
      </c>
      <c r="AD36" s="35">
        <f>IF(VLOOKUP($H36,'How the score is generated'!$B$4:$I$73,5,0)="ü",$Q36,0)</f>
        <v>0</v>
      </c>
      <c r="AE36" s="36">
        <f>IF(VLOOKUP($H36,'How the score is generated'!$B$4:$I$73,5,0)="ü",$S36,0)</f>
        <v>0</v>
      </c>
      <c r="AF36" s="145">
        <f>IF(OR($M36=0,$N36=2),0,IF(VLOOKUP($H36,'How the score is generated'!$B$4:$I$73,5,0)="ü",2,0))</f>
        <v>0</v>
      </c>
      <c r="AG36" s="35">
        <f>IF(VLOOKUP($H36,'How the score is generated'!$B$4:$I$73,6,0)="ü",$Q36,0)</f>
        <v>0</v>
      </c>
      <c r="AH36" s="36">
        <f>IF(VLOOKUP($H36,'How the score is generated'!$B$4:$I$73,6,0)="ü",$S36,0)</f>
        <v>0</v>
      </c>
      <c r="AI36" s="145">
        <f>IF(OR($M36=0,$N36=2),0,IF(VLOOKUP($H36,'How the score is generated'!$B$4:$I$73,6,0)="ü",2,0))</f>
        <v>0</v>
      </c>
      <c r="AJ36" s="35">
        <f>IF(VLOOKUP($H36,'How the score is generated'!$B$4:$I$73,7,0)="ü",$Q36,0)</f>
        <v>0</v>
      </c>
      <c r="AK36" s="36">
        <f>IF(VLOOKUP($H36,'How the score is generated'!$B$4:$I$73,7,0)="ü",$S36,0)</f>
        <v>0</v>
      </c>
      <c r="AL36" s="145">
        <f>IF(OR($M36=0,$N36=2),0,IF(VLOOKUP($H36,'How the score is generated'!$B$4:$I$73,7,0)="ü",2,0))</f>
        <v>0</v>
      </c>
      <c r="AM36" s="35">
        <f>IF(VLOOKUP($H36,'How the score is generated'!$B$4:$I$73,8,0)="ü",$Q36,0)</f>
        <v>0</v>
      </c>
      <c r="AN36" s="36">
        <f>IF(VLOOKUP($H36,'How the score is generated'!$B$4:$I$73,8,0)="ü",$S36,0)</f>
        <v>0</v>
      </c>
      <c r="AO36" s="145">
        <f>IF(OR($M36=0,$N36=2),0,IF(VLOOKUP($H36,'How the score is generated'!$B$4:$I$73,8,0)="ü",2,0))</f>
        <v>0</v>
      </c>
      <c r="AP36" s="23"/>
      <c r="AQ36" s="404" t="s">
        <v>952</v>
      </c>
      <c r="AR36" s="23"/>
      <c r="AS36" s="381"/>
      <c r="AW36" s="55"/>
      <c r="AX36" s="34" t="str">
        <f t="shared" si="17"/>
        <v/>
      </c>
      <c r="AY36" s="34" t="str">
        <f>IF(M36=0,"",IF(O36="","",O36))</f>
        <v/>
      </c>
      <c r="AZ36" s="34" t="str">
        <f>IF(M36=0,"",IF(P36="","",P36))</f>
        <v/>
      </c>
      <c r="BA36" s="55" t="str">
        <f t="shared" si="20"/>
        <v>20. Total volume of traffic (PCU's)</v>
      </c>
      <c r="BB36" s="35">
        <f>IF(VLOOKUP($H36,'How the score is generated (H)'!$B$4:$H$73,2,0)="ü",$Q36,0)</f>
        <v>0</v>
      </c>
      <c r="BC36" s="36">
        <f>IF(VLOOKUP($H36,'How the score is generated (H)'!$B$4:$H$73,2,0)="ü",$S36,0)</f>
        <v>0</v>
      </c>
      <c r="BD36" s="145">
        <f>IF(OR($M36=0,$N36=2),0,IF(VLOOKUP($H36,'How the score is generated (H)'!$B$4:$H$73,2,0)="ü",2,0))</f>
        <v>0</v>
      </c>
      <c r="BE36" s="35">
        <f>IF(VLOOKUP($H36,'How the score is generated (H)'!$B$4:$H$73,3,0)="ü",$Q36,0)</f>
        <v>0</v>
      </c>
      <c r="BF36" s="36">
        <f>IF(VLOOKUP($H36,'How the score is generated (H)'!$B$4:$H$73,3,0)="ü",$S36,0)</f>
        <v>0</v>
      </c>
      <c r="BG36" s="145">
        <f>IF(OR($M36=0,$N36=2),0,IF(VLOOKUP($H36,'How the score is generated (H)'!$B$4:$H$73,3,0)="ü",2,0))</f>
        <v>0</v>
      </c>
      <c r="BH36" s="35">
        <f>IF(VLOOKUP($H36,'How the score is generated (H)'!$B$4:$H$73,4,0)="ü",$Q36,0)</f>
        <v>0</v>
      </c>
      <c r="BI36" s="36">
        <f>IF(VLOOKUP($H36,'How the score is generated (H)'!$B$4:$H$73,4,0)="ü",$S36,0)</f>
        <v>0</v>
      </c>
      <c r="BJ36" s="145">
        <f>IF(OR($M36=0,$N36=2),0,IF(VLOOKUP($H36,'How the score is generated (H)'!$B$4:$H$73,4,0)="ü",2,0))</f>
        <v>2</v>
      </c>
      <c r="BK36" s="35">
        <f>IF(VLOOKUP($H36,'How the score is generated (H)'!$B$4:$H$73,5,0)="ü",$Q36,0)</f>
        <v>0</v>
      </c>
      <c r="BL36" s="36">
        <f>IF(VLOOKUP($H36,'How the score is generated (H)'!$B$4:$H$73,5,0)="ü",$S36,0)</f>
        <v>0</v>
      </c>
      <c r="BM36" s="145">
        <f>IF(OR($M36=0,$N36=2),0,IF(VLOOKUP($H36,'How the score is generated (H)'!$B$4:$H$73,5,0)="ü",2,0))</f>
        <v>0</v>
      </c>
      <c r="BN36" s="35">
        <f>IF(VLOOKUP($H36,'How the score is generated (H)'!$B$4:$H$73,6,0)="ü",$Q36,0)</f>
        <v>0</v>
      </c>
      <c r="BO36" s="36">
        <f>IF(VLOOKUP($H36,'How the score is generated (H)'!$B$4:$H$73,6,0)="ü",$S36,0)</f>
        <v>0</v>
      </c>
      <c r="BP36" s="145">
        <f>IF(OR($M36=0,$N36=2),0,IF(VLOOKUP($H36,'How the score is generated (H)'!$B$4:$H$73,6,0)="ü",2,0))</f>
        <v>0</v>
      </c>
      <c r="BQ36" s="35">
        <f>IF(VLOOKUP($H36,'How the score is generated (H)'!$B$4:$H$73,7,0)="ü",$Q36,0)</f>
        <v>0</v>
      </c>
      <c r="BR36" s="36">
        <f>IF(VLOOKUP($H36,'How the score is generated (H)'!$B$4:$H$73,7,0)="ü",$S36,0)</f>
        <v>0</v>
      </c>
      <c r="BS36" s="145">
        <f>IF(OR($M36=0,$N36=2),0,IF(VLOOKUP($H36,'How the score is generated (H)'!$B$4:$H$73,7,0)="ü",2,0))</f>
        <v>2</v>
      </c>
      <c r="BT36" s="23"/>
      <c r="BU36" s="35">
        <f>IF(VLOOKUP($H36,'How the score is generated (P)'!$B$4:$I$73,2,0)="ü",$Q36,0)</f>
        <v>0</v>
      </c>
      <c r="BV36" s="36">
        <f>IF(VLOOKUP($H36,'How the score is generated (P)'!$B$4:$I$73,2,0)="ü",$S36,0)</f>
        <v>0</v>
      </c>
      <c r="BW36" s="145">
        <f>IF(OR($M36=0,$N36=2),0,IF(VLOOKUP($H36,'How the score is generated (P)'!$B$4:$I$73,2,0)="ü",2,0))</f>
        <v>2</v>
      </c>
      <c r="BX36" s="35">
        <f>IF(VLOOKUP($H36,'How the score is generated (P)'!$B$4:$I$73,3,0)="ü",$Q36,0)</f>
        <v>0</v>
      </c>
      <c r="BY36" s="36">
        <f>IF(VLOOKUP($H36,'How the score is generated (P)'!$B$4:$I$73,3,0)="ü",$S36,0)</f>
        <v>0</v>
      </c>
      <c r="BZ36" s="145">
        <f>IF(OR($M36=0,$N36=2),0,IF(VLOOKUP($H36,'How the score is generated (P)'!$B$4:$I$73,3,0)="ü",2,0))</f>
        <v>0</v>
      </c>
      <c r="CA36" s="35">
        <f>IF(VLOOKUP($H36,'How the score is generated (P)'!$B$4:$I$73,4,0)="ü",$Q36,0)</f>
        <v>0</v>
      </c>
      <c r="CB36" s="36">
        <f>IF(VLOOKUP($H36,'How the score is generated (P)'!$B$4:$I$73,4,0)="ü",$S36,0)</f>
        <v>0</v>
      </c>
      <c r="CC36" s="145">
        <f>IF(OR($M36=0,$N36=2),0,IF(VLOOKUP($H36,'How the score is generated (P)'!$B$4:$I$73,4,0)="ü",2,0))</f>
        <v>0</v>
      </c>
      <c r="CD36" s="35">
        <f>IF(VLOOKUP($H36,'How the score is generated (P)'!$B$4:$I$73,5,0)="ü",$Q36,0)</f>
        <v>0</v>
      </c>
      <c r="CE36" s="36">
        <f>IF(VLOOKUP($H36,'How the score is generated (P)'!$B$4:$I$73,5,0)="ü",$S36,0)</f>
        <v>0</v>
      </c>
      <c r="CF36" s="145">
        <f>IF(OR($M36=0,$N36=2),0,IF(VLOOKUP($H36,'How the score is generated (P)'!$B$4:$I$73,5,0)="ü",2,0))</f>
        <v>0</v>
      </c>
      <c r="CG36" s="35">
        <f>IF(VLOOKUP($H36,'How the score is generated (P)'!$B$4:$I$73,6,0)="ü",$Q36,0)</f>
        <v>0</v>
      </c>
      <c r="CH36" s="36">
        <f>IF(VLOOKUP($H36,'How the score is generated (P)'!$B$4:$I$73,6,0)="ü",$S36,0)</f>
        <v>0</v>
      </c>
      <c r="CI36" s="145">
        <f>IF(OR($M36=0,$N36=2),0,IF(VLOOKUP($H36,'How the score is generated (P)'!$B$4:$I$73,6,0)="ü",2,0))</f>
        <v>0</v>
      </c>
      <c r="CJ36" s="35">
        <f>IF(VLOOKUP($H36,'How the score is generated (P)'!$B$4:$I$73,7,0)="ü",$Q36,0)</f>
        <v>0</v>
      </c>
      <c r="CK36" s="36">
        <f>IF(VLOOKUP($H36,'How the score is generated (P)'!$B$4:$I$73,7,0)="ü",$S36,0)</f>
        <v>0</v>
      </c>
      <c r="CL36" s="145">
        <f>IF(OR($M36=0,$N36=2),0,IF(VLOOKUP($H36,'How the score is generated (P)'!$B$4:$I$73,7,0)="ü",2,0))</f>
        <v>0</v>
      </c>
      <c r="CM36" s="35">
        <f>IF(VLOOKUP($H36,'How the score is generated (P)'!$B$4:$I$73,8,0)="ü",$Q36,0)</f>
        <v>0</v>
      </c>
      <c r="CN36" s="36">
        <f>IF(VLOOKUP($H36,'How the score is generated (P)'!$B$4:$I$73,8,0)="ü",$S36,0)</f>
        <v>0</v>
      </c>
      <c r="CO36" s="145">
        <f>IF(OR($M36=0,$N36=2),0,IF(VLOOKUP($H36,'How the score is generated (P)'!$B$4:$I$73,8,0)="ü",2,0))</f>
        <v>0</v>
      </c>
      <c r="CP36" s="300" t="s">
        <v>1070</v>
      </c>
    </row>
    <row r="37" spans="1:94" ht="52.5" thickBot="1" x14ac:dyDescent="0.4">
      <c r="A37" s="23"/>
      <c r="B37" s="31"/>
      <c r="C37" s="68" t="str">
        <f>Validation!$S$5</f>
        <v xml:space="preserve">Group 4. Cycling provision </v>
      </c>
      <c r="D37" s="164">
        <f t="shared" si="21"/>
        <v>21</v>
      </c>
      <c r="E37" s="38" t="s">
        <v>43</v>
      </c>
      <c r="F37" s="168" t="s">
        <v>20</v>
      </c>
      <c r="G37" s="39" t="s">
        <v>1000</v>
      </c>
      <c r="H37" s="41" t="s">
        <v>1004</v>
      </c>
      <c r="I37" s="40" t="s">
        <v>1001</v>
      </c>
      <c r="J37" s="41" t="s">
        <v>1002</v>
      </c>
      <c r="K37" s="41" t="s">
        <v>1003</v>
      </c>
      <c r="L37" s="42" t="s">
        <v>1020</v>
      </c>
      <c r="M37" s="170">
        <f>IF(Project!$B$27="Off-Street",0,1)</f>
        <v>1</v>
      </c>
      <c r="N37" s="425">
        <f t="shared" si="14"/>
        <v>0</v>
      </c>
      <c r="O37" s="237"/>
      <c r="P37" s="144"/>
      <c r="Q37" s="441">
        <f>IF(OR($M37=0,$O37="N/A"),"NA",VLOOKUP($O37,Validation!$D$2:$E$7,2,0))</f>
        <v>0</v>
      </c>
      <c r="R37" s="129">
        <f t="shared" si="15"/>
        <v>2</v>
      </c>
      <c r="S37" s="441">
        <f>IF(OR($M37=0,$P37="N/A"),"NA",VLOOKUP($P37,Validation!$D$2:$E$7,2,0))</f>
        <v>0</v>
      </c>
      <c r="T37" s="34">
        <f t="shared" si="16"/>
        <v>2</v>
      </c>
      <c r="U37" s="35">
        <f>IF(VLOOKUP($H37,'How the score is generated'!$B$4:$I$73,2,0)="ü",$Q37,0)</f>
        <v>0</v>
      </c>
      <c r="V37" s="36">
        <f>IF(VLOOKUP($H37,'How the score is generated'!$B$4:$I$73,2,0)="ü",$S37,0)</f>
        <v>0</v>
      </c>
      <c r="W37" s="145">
        <f>IF(OR($M37=0,$N37=2),0,IF(VLOOKUP($H37,'How the score is generated'!$B$4:$I$73,2,0)="ü",2,0))</f>
        <v>0</v>
      </c>
      <c r="X37" s="35">
        <f>IF(VLOOKUP($H37,'How the score is generated'!$B$4:$I$73,3,0)="ü",$Q37,0)</f>
        <v>0</v>
      </c>
      <c r="Y37" s="36">
        <f>IF(VLOOKUP($H37,'How the score is generated'!$B$4:$I$73,3,0)="ü",$S37,0)</f>
        <v>0</v>
      </c>
      <c r="Z37" s="145">
        <f>IF(OR($M37=0,$N37=2),0,IF(VLOOKUP($H37,'How the score is generated'!$B$4:$I$73,3,0)="ü",2,0))</f>
        <v>0</v>
      </c>
      <c r="AA37" s="35">
        <f>IF(VLOOKUP($H37,'How the score is generated'!$B$4:$I$73,4,0)="ü",$Q37,0)</f>
        <v>0</v>
      </c>
      <c r="AB37" s="36">
        <f>IF(VLOOKUP($H37,'How the score is generated'!$B$4:$I$73,4,0)="ü",$S37,0)</f>
        <v>0</v>
      </c>
      <c r="AC37" s="145">
        <f>IF(OR($M37=0,$N37=2),0,IF(VLOOKUP($H37,'How the score is generated'!$B$4:$I$73,4,0)="ü",2,0))</f>
        <v>2</v>
      </c>
      <c r="AD37" s="35">
        <f>IF(VLOOKUP($H37,'How the score is generated'!$B$4:$I$73,5,0)="ü",$Q37,0)</f>
        <v>0</v>
      </c>
      <c r="AE37" s="36">
        <f>IF(VLOOKUP($H37,'How the score is generated'!$B$4:$I$73,5,0)="ü",$S37,0)</f>
        <v>0</v>
      </c>
      <c r="AF37" s="145">
        <f>IF(OR($M37=0,$N37=2),0,IF(VLOOKUP($H37,'How the score is generated'!$B$4:$I$73,5,0)="ü",2,0))</f>
        <v>0</v>
      </c>
      <c r="AG37" s="35">
        <f>IF(VLOOKUP($H37,'How the score is generated'!$B$4:$I$73,6,0)="ü",$Q37,0)</f>
        <v>0</v>
      </c>
      <c r="AH37" s="36">
        <f>IF(VLOOKUP($H37,'How the score is generated'!$B$4:$I$73,6,0)="ü",$S37,0)</f>
        <v>0</v>
      </c>
      <c r="AI37" s="145">
        <f>IF(OR($M37=0,$N37=2),0,IF(VLOOKUP($H37,'How the score is generated'!$B$4:$I$73,6,0)="ü",2,0))</f>
        <v>0</v>
      </c>
      <c r="AJ37" s="35">
        <f>IF(VLOOKUP($H37,'How the score is generated'!$B$4:$I$73,7,0)="ü",$Q37,0)</f>
        <v>0</v>
      </c>
      <c r="AK37" s="36">
        <f>IF(VLOOKUP($H37,'How the score is generated'!$B$4:$I$73,7,0)="ü",$S37,0)</f>
        <v>0</v>
      </c>
      <c r="AL37" s="145">
        <f>IF(OR($M37=0,$N37=2),0,IF(VLOOKUP($H37,'How the score is generated'!$B$4:$I$73,7,0)="ü",2,0))</f>
        <v>0</v>
      </c>
      <c r="AM37" s="35">
        <f>IF(VLOOKUP($H37,'How the score is generated'!$B$4:$I$73,8,0)="ü",$Q37,0)</f>
        <v>0</v>
      </c>
      <c r="AN37" s="36">
        <f>IF(VLOOKUP($H37,'How the score is generated'!$B$4:$I$73,8,0)="ü",$S37,0)</f>
        <v>0</v>
      </c>
      <c r="AO37" s="145">
        <f>IF(OR($M37=0,$N37=2),0,IF(VLOOKUP($H37,'How the score is generated'!$B$4:$I$73,8,0)="ü",2,0))</f>
        <v>0</v>
      </c>
      <c r="AP37" s="23"/>
      <c r="AQ37" s="404" t="s">
        <v>1131</v>
      </c>
      <c r="AR37" s="23"/>
      <c r="AS37" s="146"/>
      <c r="AW37" s="34"/>
      <c r="AX37" s="34" t="str">
        <f t="shared" si="17"/>
        <v/>
      </c>
      <c r="AY37" s="34" t="str">
        <f t="shared" si="18"/>
        <v/>
      </c>
      <c r="AZ37" s="34" t="str">
        <f t="shared" si="19"/>
        <v/>
      </c>
      <c r="BA37" s="34" t="str">
        <f t="shared" si="20"/>
        <v>21. Percentage of large vehicles in peak hour</v>
      </c>
      <c r="BB37" s="35">
        <f>IF(VLOOKUP($H37,'How the score is generated (H)'!$B$4:$H$73,2,0)="ü",$Q37,0)</f>
        <v>0</v>
      </c>
      <c r="BC37" s="36">
        <f>IF(VLOOKUP($H37,'How the score is generated (H)'!$B$4:$H$73,2,0)="ü",$S37,0)</f>
        <v>0</v>
      </c>
      <c r="BD37" s="145">
        <f>IF(OR($M37=0,$N37=2),0,IF(VLOOKUP($H37,'How the score is generated (H)'!$B$4:$H$73,2,0)="ü",2,0))</f>
        <v>0</v>
      </c>
      <c r="BE37" s="35">
        <f>IF(VLOOKUP($H37,'How the score is generated (H)'!$B$4:$H$73,3,0)="ü",$Q37,0)</f>
        <v>0</v>
      </c>
      <c r="BF37" s="36">
        <f>IF(VLOOKUP($H37,'How the score is generated (H)'!$B$4:$H$73,3,0)="ü",$S37,0)</f>
        <v>0</v>
      </c>
      <c r="BG37" s="145">
        <f>IF(OR($M37=0,$N37=2),0,IF(VLOOKUP($H37,'How the score is generated (H)'!$B$4:$H$73,3,0)="ü",2,0))</f>
        <v>0</v>
      </c>
      <c r="BH37" s="35">
        <f>IF(VLOOKUP($H37,'How the score is generated (H)'!$B$4:$H$73,4,0)="ü",$Q37,0)</f>
        <v>0</v>
      </c>
      <c r="BI37" s="36">
        <f>IF(VLOOKUP($H37,'How the score is generated (H)'!$B$4:$H$73,4,0)="ü",$S37,0)</f>
        <v>0</v>
      </c>
      <c r="BJ37" s="145">
        <f>IF(OR($M37=0,$N37=2),0,IF(VLOOKUP($H37,'How the score is generated (H)'!$B$4:$H$73,4,0)="ü",2,0))</f>
        <v>2</v>
      </c>
      <c r="BK37" s="35">
        <f>IF(VLOOKUP($H37,'How the score is generated (H)'!$B$4:$H$73,5,0)="ü",$Q37,0)</f>
        <v>0</v>
      </c>
      <c r="BL37" s="36">
        <f>IF(VLOOKUP($H37,'How the score is generated (H)'!$B$4:$H$73,5,0)="ü",$S37,0)</f>
        <v>0</v>
      </c>
      <c r="BM37" s="145">
        <f>IF(OR($M37=0,$N37=2),0,IF(VLOOKUP($H37,'How the score is generated (H)'!$B$4:$H$73,5,0)="ü",2,0))</f>
        <v>0</v>
      </c>
      <c r="BN37" s="35">
        <f>IF(VLOOKUP($H37,'How the score is generated (H)'!$B$4:$H$73,6,0)="ü",$Q37,0)</f>
        <v>0</v>
      </c>
      <c r="BO37" s="36">
        <f>IF(VLOOKUP($H37,'How the score is generated (H)'!$B$4:$H$73,6,0)="ü",$S37,0)</f>
        <v>0</v>
      </c>
      <c r="BP37" s="145">
        <f>IF(OR($M37=0,$N37=2),0,IF(VLOOKUP($H37,'How the score is generated (H)'!$B$4:$H$73,6,0)="ü",2,0))</f>
        <v>0</v>
      </c>
      <c r="BQ37" s="35">
        <f>IF(VLOOKUP($H37,'How the score is generated (H)'!$B$4:$H$73,7,0)="ü",$Q37,0)</f>
        <v>0</v>
      </c>
      <c r="BR37" s="36">
        <f>IF(VLOOKUP($H37,'How the score is generated (H)'!$B$4:$H$73,7,0)="ü",$S37,0)</f>
        <v>0</v>
      </c>
      <c r="BS37" s="145">
        <f>IF(OR($M37=0,$N37=2),0,IF(VLOOKUP($H37,'How the score is generated (H)'!$B$4:$H$73,7,0)="ü",2,0))</f>
        <v>2</v>
      </c>
      <c r="BT37" s="23"/>
      <c r="BU37" s="35">
        <f>IF(VLOOKUP($H37,'How the score is generated (P)'!$B$4:$I$73,2,0)="ü",$Q37,0)</f>
        <v>0</v>
      </c>
      <c r="BV37" s="36">
        <f>IF(VLOOKUP($H37,'How the score is generated (P)'!$B$4:$I$73,2,0)="ü",$S37,0)</f>
        <v>0</v>
      </c>
      <c r="BW37" s="145">
        <f>IF(OR($M37=0,$N37=2),0,IF(VLOOKUP($H37,'How the score is generated (P)'!$B$4:$I$73,2,0)="ü",2,0))</f>
        <v>2</v>
      </c>
      <c r="BX37" s="35">
        <f>IF(VLOOKUP($H37,'How the score is generated (P)'!$B$4:$I$73,3,0)="ü",$Q37,0)</f>
        <v>0</v>
      </c>
      <c r="BY37" s="36">
        <f>IF(VLOOKUP($H37,'How the score is generated (P)'!$B$4:$I$73,3,0)="ü",$S37,0)</f>
        <v>0</v>
      </c>
      <c r="BZ37" s="145">
        <f>IF(OR($M37=0,$N37=2),0,IF(VLOOKUP($H37,'How the score is generated (P)'!$B$4:$I$73,3,0)="ü",2,0))</f>
        <v>0</v>
      </c>
      <c r="CA37" s="35">
        <f>IF(VLOOKUP($H37,'How the score is generated (P)'!$B$4:$I$73,4,0)="ü",$Q37,0)</f>
        <v>0</v>
      </c>
      <c r="CB37" s="36">
        <f>IF(VLOOKUP($H37,'How the score is generated (P)'!$B$4:$I$73,4,0)="ü",$S37,0)</f>
        <v>0</v>
      </c>
      <c r="CC37" s="145">
        <f>IF(OR($M37=0,$N37=2),0,IF(VLOOKUP($H37,'How the score is generated (P)'!$B$4:$I$73,4,0)="ü",2,0))</f>
        <v>0</v>
      </c>
      <c r="CD37" s="35">
        <f>IF(VLOOKUP($H37,'How the score is generated (P)'!$B$4:$I$73,5,0)="ü",$Q37,0)</f>
        <v>0</v>
      </c>
      <c r="CE37" s="36">
        <f>IF(VLOOKUP($H37,'How the score is generated (P)'!$B$4:$I$73,5,0)="ü",$S37,0)</f>
        <v>0</v>
      </c>
      <c r="CF37" s="145">
        <f>IF(OR($M37=0,$N37=2),0,IF(VLOOKUP($H37,'How the score is generated (P)'!$B$4:$I$73,5,0)="ü",2,0))</f>
        <v>0</v>
      </c>
      <c r="CG37" s="35">
        <f>IF(VLOOKUP($H37,'How the score is generated (P)'!$B$4:$I$73,6,0)="ü",$Q37,0)</f>
        <v>0</v>
      </c>
      <c r="CH37" s="36">
        <f>IF(VLOOKUP($H37,'How the score is generated (P)'!$B$4:$I$73,6,0)="ü",$S37,0)</f>
        <v>0</v>
      </c>
      <c r="CI37" s="145">
        <f>IF(OR($M37=0,$N37=2),0,IF(VLOOKUP($H37,'How the score is generated (P)'!$B$4:$I$73,6,0)="ü",2,0))</f>
        <v>0</v>
      </c>
      <c r="CJ37" s="35">
        <f>IF(VLOOKUP($H37,'How the score is generated (P)'!$B$4:$I$73,7,0)="ü",$Q37,0)</f>
        <v>0</v>
      </c>
      <c r="CK37" s="36">
        <f>IF(VLOOKUP($H37,'How the score is generated (P)'!$B$4:$I$73,7,0)="ü",$S37,0)</f>
        <v>0</v>
      </c>
      <c r="CL37" s="145">
        <f>IF(OR($M37=0,$N37=2),0,IF(VLOOKUP($H37,'How the score is generated (P)'!$B$4:$I$73,7,0)="ü",2,0))</f>
        <v>0</v>
      </c>
      <c r="CM37" s="35">
        <f>IF(VLOOKUP($H37,'How the score is generated (P)'!$B$4:$I$73,8,0)="ü",$Q37,0)</f>
        <v>0</v>
      </c>
      <c r="CN37" s="36">
        <f>IF(VLOOKUP($H37,'How the score is generated (P)'!$B$4:$I$73,8,0)="ü",$S37,0)</f>
        <v>0</v>
      </c>
      <c r="CO37" s="145">
        <f>IF(OR($M37=0,$N37=2),0,IF(VLOOKUP($H37,'How the score is generated (P)'!$B$4:$I$73,8,0)="ü",2,0))</f>
        <v>0</v>
      </c>
      <c r="CP37" s="300" t="s">
        <v>1070</v>
      </c>
    </row>
    <row r="38" spans="1:94" ht="79" customHeight="1" thickBot="1" x14ac:dyDescent="0.4">
      <c r="A38" s="23"/>
      <c r="B38" s="64"/>
      <c r="C38" s="68" t="str">
        <f>Validation!$S$5</f>
        <v xml:space="preserve">Group 4. Cycling provision </v>
      </c>
      <c r="D38" s="164">
        <f t="shared" si="21"/>
        <v>22</v>
      </c>
      <c r="E38" s="38" t="s">
        <v>43</v>
      </c>
      <c r="F38" s="168" t="s">
        <v>20</v>
      </c>
      <c r="G38" s="39" t="s">
        <v>1047</v>
      </c>
      <c r="H38" s="41" t="s">
        <v>115</v>
      </c>
      <c r="I38" s="40" t="s">
        <v>1044</v>
      </c>
      <c r="J38" s="41" t="s">
        <v>1049</v>
      </c>
      <c r="K38" s="41" t="s">
        <v>1045</v>
      </c>
      <c r="L38" s="42" t="s">
        <v>1048</v>
      </c>
      <c r="M38" s="170">
        <f>IF(Project!$B$27="Off-Street",0,1)</f>
        <v>1</v>
      </c>
      <c r="N38" s="425">
        <f t="shared" si="14"/>
        <v>0</v>
      </c>
      <c r="O38" s="237"/>
      <c r="P38" s="144"/>
      <c r="Q38" s="441">
        <f>IF(OR($M38=0,$O38="N/A"),"NA",VLOOKUP($O38,Validation!$D$2:$E$7,2,0))</f>
        <v>0</v>
      </c>
      <c r="R38" s="129">
        <f t="shared" si="15"/>
        <v>2</v>
      </c>
      <c r="S38" s="441">
        <f>IF(OR($M38=0,$P38="N/A"),"NA",VLOOKUP($P38,Validation!$D$2:$E$7,2,0))</f>
        <v>0</v>
      </c>
      <c r="T38" s="34">
        <f t="shared" si="16"/>
        <v>2</v>
      </c>
      <c r="U38" s="35">
        <f>IF(VLOOKUP($H38,'How the score is generated'!$B$4:$I$73,2,0)="ü",$Q38,0)</f>
        <v>0</v>
      </c>
      <c r="V38" s="36">
        <f>IF(VLOOKUP($H38,'How the score is generated'!$B$4:$I$73,2,0)="ü",$S38,0)</f>
        <v>0</v>
      </c>
      <c r="W38" s="145">
        <f>IF(OR($M38=0,$N38=2),0,IF(VLOOKUP($H38,'How the score is generated'!$B$4:$I$73,2,0)="ü",2,0))</f>
        <v>0</v>
      </c>
      <c r="X38" s="35">
        <f>IF(VLOOKUP($H38,'How the score is generated'!$B$4:$I$73,3,0)="ü",$Q38,0)</f>
        <v>0</v>
      </c>
      <c r="Y38" s="36">
        <f>IF(VLOOKUP($H38,'How the score is generated'!$B$4:$I$73,3,0)="ü",$S38,0)</f>
        <v>0</v>
      </c>
      <c r="Z38" s="145">
        <f>IF(OR($M38=0,$N38=2),0,IF(VLOOKUP($H38,'How the score is generated'!$B$4:$I$73,3,0)="ü",2,0))</f>
        <v>0</v>
      </c>
      <c r="AA38" s="35">
        <f>IF(VLOOKUP($H38,'How the score is generated'!$B$4:$I$73,4,0)="ü",$Q38,0)</f>
        <v>0</v>
      </c>
      <c r="AB38" s="36">
        <f>IF(VLOOKUP($H38,'How the score is generated'!$B$4:$I$73,4,0)="ü",$S38,0)</f>
        <v>0</v>
      </c>
      <c r="AC38" s="145">
        <f>IF(OR($M38=0,$N38=2),0,IF(VLOOKUP($H38,'How the score is generated'!$B$4:$I$73,4,0)="ü",2,0))</f>
        <v>2</v>
      </c>
      <c r="AD38" s="35">
        <f>IF(VLOOKUP($H38,'How the score is generated'!$B$4:$I$73,5,0)="ü",$Q38,0)</f>
        <v>0</v>
      </c>
      <c r="AE38" s="36">
        <f>IF(VLOOKUP($H38,'How the score is generated'!$B$4:$I$73,5,0)="ü",$S38,0)</f>
        <v>0</v>
      </c>
      <c r="AF38" s="145">
        <f>IF(OR($M38=0,$N38=2),0,IF(VLOOKUP($H38,'How the score is generated'!$B$4:$I$73,5,0)="ü",2,0))</f>
        <v>0</v>
      </c>
      <c r="AG38" s="35">
        <f>IF(VLOOKUP($H38,'How the score is generated'!$B$4:$I$73,6,0)="ü",$Q38,0)</f>
        <v>0</v>
      </c>
      <c r="AH38" s="36">
        <f>IF(VLOOKUP($H38,'How the score is generated'!$B$4:$I$73,6,0)="ü",$S38,0)</f>
        <v>0</v>
      </c>
      <c r="AI38" s="145">
        <f>IF(OR($M38=0,$N38=2),0,IF(VLOOKUP($H38,'How the score is generated'!$B$4:$I$73,6,0)="ü",2,0))</f>
        <v>0</v>
      </c>
      <c r="AJ38" s="35">
        <f>IF(VLOOKUP($H38,'How the score is generated'!$B$4:$I$73,7,0)="ü",$Q38,0)</f>
        <v>0</v>
      </c>
      <c r="AK38" s="36">
        <f>IF(VLOOKUP($H38,'How the score is generated'!$B$4:$I$73,7,0)="ü",$S38,0)</f>
        <v>0</v>
      </c>
      <c r="AL38" s="145">
        <f>IF(OR($M38=0,$N38=2),0,IF(VLOOKUP($H38,'How the score is generated'!$B$4:$I$73,7,0)="ü",2,0))</f>
        <v>0</v>
      </c>
      <c r="AM38" s="35">
        <f>IF(VLOOKUP($H38,'How the score is generated'!$B$4:$I$73,8,0)="ü",$Q38,0)</f>
        <v>0</v>
      </c>
      <c r="AN38" s="36">
        <f>IF(VLOOKUP($H38,'How the score is generated'!$B$4:$I$73,8,0)="ü",$S38,0)</f>
        <v>0</v>
      </c>
      <c r="AO38" s="145">
        <f>IF(OR($M38=0,$N38=2),0,IF(VLOOKUP($H38,'How the score is generated'!$B$4:$I$73,8,0)="ü",2,0))</f>
        <v>0</v>
      </c>
      <c r="AP38" s="23"/>
      <c r="AQ38" s="407" t="s">
        <v>1207</v>
      </c>
      <c r="AR38" s="23"/>
      <c r="AS38" s="146"/>
      <c r="AW38" s="34"/>
      <c r="AX38" s="34" t="str">
        <f t="shared" si="17"/>
        <v/>
      </c>
      <c r="AY38" s="34" t="str">
        <f t="shared" si="18"/>
        <v/>
      </c>
      <c r="AZ38" s="34" t="str">
        <f t="shared" si="19"/>
        <v/>
      </c>
      <c r="BA38" s="34" t="str">
        <f t="shared" si="20"/>
        <v>22. Clear nearside space in secondary position or motor vehicle volume in primary position</v>
      </c>
      <c r="BB38" s="35">
        <f>IF(VLOOKUP($H38,'How the score is generated (H)'!$B$4:$H$73,2,0)="ü",$Q38,0)</f>
        <v>0</v>
      </c>
      <c r="BC38" s="36">
        <f>IF(VLOOKUP($H38,'How the score is generated (H)'!$B$4:$H$73,2,0)="ü",$S38,0)</f>
        <v>0</v>
      </c>
      <c r="BD38" s="145">
        <f>IF(OR($M38=0,$N38=2),0,IF(VLOOKUP($H38,'How the score is generated (H)'!$B$4:$H$73,2,0)="ü",2,0))</f>
        <v>0</v>
      </c>
      <c r="BE38" s="35">
        <f>IF(VLOOKUP($H38,'How the score is generated (H)'!$B$4:$H$73,3,0)="ü",$Q38,0)</f>
        <v>0</v>
      </c>
      <c r="BF38" s="36">
        <f>IF(VLOOKUP($H38,'How the score is generated (H)'!$B$4:$H$73,3,0)="ü",$S38,0)</f>
        <v>0</v>
      </c>
      <c r="BG38" s="145">
        <f>IF(OR($M38=0,$N38=2),0,IF(VLOOKUP($H38,'How the score is generated (H)'!$B$4:$H$73,3,0)="ü",2,0))</f>
        <v>0</v>
      </c>
      <c r="BH38" s="35">
        <f>IF(VLOOKUP($H38,'How the score is generated (H)'!$B$4:$H$73,4,0)="ü",$Q38,0)</f>
        <v>0</v>
      </c>
      <c r="BI38" s="36">
        <f>IF(VLOOKUP($H38,'How the score is generated (H)'!$B$4:$H$73,4,0)="ü",$S38,0)</f>
        <v>0</v>
      </c>
      <c r="BJ38" s="145">
        <f>IF(OR($M38=0,$N38=2),0,IF(VLOOKUP($H38,'How the score is generated (H)'!$B$4:$H$73,4,0)="ü",2,0))</f>
        <v>2</v>
      </c>
      <c r="BK38" s="35">
        <f>IF(VLOOKUP($H38,'How the score is generated (H)'!$B$4:$H$73,5,0)="ü",$Q38,0)</f>
        <v>0</v>
      </c>
      <c r="BL38" s="36">
        <f>IF(VLOOKUP($H38,'How the score is generated (H)'!$B$4:$H$73,5,0)="ü",$S38,0)</f>
        <v>0</v>
      </c>
      <c r="BM38" s="145">
        <f>IF(OR($M38=0,$N38=2),0,IF(VLOOKUP($H38,'How the score is generated (H)'!$B$4:$H$73,5,0)="ü",2,0))</f>
        <v>0</v>
      </c>
      <c r="BN38" s="35">
        <f>IF(VLOOKUP($H38,'How the score is generated (H)'!$B$4:$H$73,6,0)="ü",$Q38,0)</f>
        <v>0</v>
      </c>
      <c r="BO38" s="36">
        <f>IF(VLOOKUP($H38,'How the score is generated (H)'!$B$4:$H$73,6,0)="ü",$S38,0)</f>
        <v>0</v>
      </c>
      <c r="BP38" s="145">
        <f>IF(OR($M38=0,$N38=2),0,IF(VLOOKUP($H38,'How the score is generated (H)'!$B$4:$H$73,6,0)="ü",2,0))</f>
        <v>0</v>
      </c>
      <c r="BQ38" s="35">
        <f>IF(VLOOKUP($H38,'How the score is generated (H)'!$B$4:$H$73,7,0)="ü",$Q38,0)</f>
        <v>0</v>
      </c>
      <c r="BR38" s="36">
        <f>IF(VLOOKUP($H38,'How the score is generated (H)'!$B$4:$H$73,7,0)="ü",$S38,0)</f>
        <v>0</v>
      </c>
      <c r="BS38" s="145">
        <f>IF(OR($M38=0,$N38=2),0,IF(VLOOKUP($H38,'How the score is generated (H)'!$B$4:$H$73,7,0)="ü",2,0))</f>
        <v>0</v>
      </c>
      <c r="BT38" s="23"/>
      <c r="BU38" s="35">
        <f>IF(VLOOKUP($H38,'How the score is generated (P)'!$B$4:$I$73,2,0)="ü",$Q38,0)</f>
        <v>0</v>
      </c>
      <c r="BV38" s="36">
        <f>IF(VLOOKUP($H38,'How the score is generated (P)'!$B$4:$I$73,2,0)="ü",$S38,0)</f>
        <v>0</v>
      </c>
      <c r="BW38" s="145">
        <f>IF(OR($M38=0,$N38=2),0,IF(VLOOKUP($H38,'How the score is generated (P)'!$B$4:$I$73,2,0)="ü",2,0))</f>
        <v>0</v>
      </c>
      <c r="BX38" s="35">
        <f>IF(VLOOKUP($H38,'How the score is generated (P)'!$B$4:$I$73,3,0)="ü",$Q38,0)</f>
        <v>0</v>
      </c>
      <c r="BY38" s="36">
        <f>IF(VLOOKUP($H38,'How the score is generated (P)'!$B$4:$I$73,3,0)="ü",$S38,0)</f>
        <v>0</v>
      </c>
      <c r="BZ38" s="145">
        <f>IF(OR($M38=0,$N38=2),0,IF(VLOOKUP($H38,'How the score is generated (P)'!$B$4:$I$73,3,0)="ü",2,0))</f>
        <v>0</v>
      </c>
      <c r="CA38" s="35">
        <f>IF(VLOOKUP($H38,'How the score is generated (P)'!$B$4:$I$73,4,0)="ü",$Q38,0)</f>
        <v>0</v>
      </c>
      <c r="CB38" s="36">
        <f>IF(VLOOKUP($H38,'How the score is generated (P)'!$B$4:$I$73,4,0)="ü",$S38,0)</f>
        <v>0</v>
      </c>
      <c r="CC38" s="145">
        <f>IF(OR($M38=0,$N38=2),0,IF(VLOOKUP($H38,'How the score is generated (P)'!$B$4:$I$73,4,0)="ü",2,0))</f>
        <v>0</v>
      </c>
      <c r="CD38" s="35">
        <f>IF(VLOOKUP($H38,'How the score is generated (P)'!$B$4:$I$73,5,0)="ü",$Q38,0)</f>
        <v>0</v>
      </c>
      <c r="CE38" s="36">
        <f>IF(VLOOKUP($H38,'How the score is generated (P)'!$B$4:$I$73,5,0)="ü",$S38,0)</f>
        <v>0</v>
      </c>
      <c r="CF38" s="145">
        <f>IF(OR($M38=0,$N38=2),0,IF(VLOOKUP($H38,'How the score is generated (P)'!$B$4:$I$73,5,0)="ü",2,0))</f>
        <v>0</v>
      </c>
      <c r="CG38" s="35">
        <f>IF(VLOOKUP($H38,'How the score is generated (P)'!$B$4:$I$73,6,0)="ü",$Q38,0)</f>
        <v>0</v>
      </c>
      <c r="CH38" s="36">
        <f>IF(VLOOKUP($H38,'How the score is generated (P)'!$B$4:$I$73,6,0)="ü",$S38,0)</f>
        <v>0</v>
      </c>
      <c r="CI38" s="145">
        <f>IF(OR($M38=0,$N38=2),0,IF(VLOOKUP($H38,'How the score is generated (P)'!$B$4:$I$73,6,0)="ü",2,0))</f>
        <v>0</v>
      </c>
      <c r="CJ38" s="35">
        <f>IF(VLOOKUP($H38,'How the score is generated (P)'!$B$4:$I$73,7,0)="ü",$Q38,0)</f>
        <v>0</v>
      </c>
      <c r="CK38" s="36">
        <f>IF(VLOOKUP($H38,'How the score is generated (P)'!$B$4:$I$73,7,0)="ü",$S38,0)</f>
        <v>0</v>
      </c>
      <c r="CL38" s="145">
        <f>IF(OR($M38=0,$N38=2),0,IF(VLOOKUP($H38,'How the score is generated (P)'!$B$4:$I$73,7,0)="ü",2,0))</f>
        <v>0</v>
      </c>
      <c r="CM38" s="35">
        <f>IF(VLOOKUP($H38,'How the score is generated (P)'!$B$4:$I$73,8,0)="ü",$Q38,0)</f>
        <v>0</v>
      </c>
      <c r="CN38" s="36">
        <f>IF(VLOOKUP($H38,'How the score is generated (P)'!$B$4:$I$73,8,0)="ü",$S38,0)</f>
        <v>0</v>
      </c>
      <c r="CO38" s="145">
        <f>IF(OR($M38=0,$N38=2),0,IF(VLOOKUP($H38,'How the score is generated (P)'!$B$4:$I$73,8,0)="ü",2,0))</f>
        <v>0</v>
      </c>
      <c r="CP38" s="300" t="s">
        <v>1096</v>
      </c>
    </row>
    <row r="39" spans="1:94" ht="67.5" customHeight="1" thickBot="1" x14ac:dyDescent="0.4">
      <c r="A39" s="23"/>
      <c r="B39" s="31"/>
      <c r="C39" s="68" t="str">
        <f>Validation!$S$5</f>
        <v xml:space="preserve">Group 4. Cycling provision </v>
      </c>
      <c r="D39" s="164">
        <f t="shared" si="21"/>
        <v>23</v>
      </c>
      <c r="E39" s="38" t="s">
        <v>43</v>
      </c>
      <c r="F39" s="168" t="s">
        <v>20</v>
      </c>
      <c r="G39" s="39" t="s">
        <v>1006</v>
      </c>
      <c r="H39" s="41" t="s">
        <v>1043</v>
      </c>
      <c r="I39" s="40" t="s">
        <v>1054</v>
      </c>
      <c r="J39" s="41" t="s">
        <v>1046</v>
      </c>
      <c r="K39" s="41" t="s">
        <v>1051</v>
      </c>
      <c r="L39" s="42" t="s">
        <v>1251</v>
      </c>
      <c r="M39" s="170">
        <f>IF(Project!$B$27="Off-Street",0,1)</f>
        <v>1</v>
      </c>
      <c r="N39" s="425">
        <f t="shared" si="14"/>
        <v>0</v>
      </c>
      <c r="O39" s="237"/>
      <c r="P39" s="144"/>
      <c r="Q39" s="441">
        <f>IF(OR($M39=0,$O39="N/A"),"NA",VLOOKUP($O39,Validation!$D$2:$E$7,2,0))</f>
        <v>0</v>
      </c>
      <c r="R39" s="129">
        <f t="shared" si="15"/>
        <v>2</v>
      </c>
      <c r="S39" s="441">
        <f>IF(OR($M39=0,$P39="N/A"),"NA",VLOOKUP($P39,Validation!$D$2:$E$7,2,0))</f>
        <v>0</v>
      </c>
      <c r="T39" s="34">
        <f t="shared" si="16"/>
        <v>2</v>
      </c>
      <c r="U39" s="35">
        <f>IF(VLOOKUP($H39,'How the score is generated'!$B$4:$I$73,2,0)="ü",$Q39,0)</f>
        <v>0</v>
      </c>
      <c r="V39" s="36">
        <f>IF(VLOOKUP($H39,'How the score is generated'!$B$4:$I$73,2,0)="ü",$S39,0)</f>
        <v>0</v>
      </c>
      <c r="W39" s="145">
        <f>IF(OR($M39=0,$N39=2),0,IF(VLOOKUP($H39,'How the score is generated'!$B$4:$I$73,2,0)="ü",2,0))</f>
        <v>0</v>
      </c>
      <c r="X39" s="35">
        <f>IF(VLOOKUP($H39,'How the score is generated'!$B$4:$I$73,3,0)="ü",$Q39,0)</f>
        <v>0</v>
      </c>
      <c r="Y39" s="36">
        <f>IF(VLOOKUP($H39,'How the score is generated'!$B$4:$I$73,3,0)="ü",$S39,0)</f>
        <v>0</v>
      </c>
      <c r="Z39" s="145">
        <f>IF(OR($M39=0,$N39=2),0,IF(VLOOKUP($H39,'How the score is generated'!$B$4:$I$73,3,0)="ü",2,0))</f>
        <v>0</v>
      </c>
      <c r="AA39" s="35">
        <f>IF(VLOOKUP($H39,'How the score is generated'!$B$4:$I$73,4,0)="ü",$Q39,0)</f>
        <v>0</v>
      </c>
      <c r="AB39" s="36">
        <f>IF(VLOOKUP($H39,'How the score is generated'!$B$4:$I$73,4,0)="ü",$S39,0)</f>
        <v>0</v>
      </c>
      <c r="AC39" s="145">
        <f>IF(OR($M39=0,$N39=2),0,IF(VLOOKUP($H39,'How the score is generated'!$B$4:$I$73,4,0)="ü",2,0))</f>
        <v>2</v>
      </c>
      <c r="AD39" s="35">
        <f>IF(VLOOKUP($H39,'How the score is generated'!$B$4:$I$73,5,0)="ü",$Q39,0)</f>
        <v>0</v>
      </c>
      <c r="AE39" s="36">
        <f>IF(VLOOKUP($H39,'How the score is generated'!$B$4:$I$73,5,0)="ü",$S39,0)</f>
        <v>0</v>
      </c>
      <c r="AF39" s="145">
        <f>IF(OR($M39=0,$N39=2),0,IF(VLOOKUP($H39,'How the score is generated'!$B$4:$I$73,5,0)="ü",2,0))</f>
        <v>0</v>
      </c>
      <c r="AG39" s="35">
        <f>IF(VLOOKUP($H39,'How the score is generated'!$B$4:$I$73,6,0)="ü",$Q39,0)</f>
        <v>0</v>
      </c>
      <c r="AH39" s="36">
        <f>IF(VLOOKUP($H39,'How the score is generated'!$B$4:$I$73,6,0)="ü",$S39,0)</f>
        <v>0</v>
      </c>
      <c r="AI39" s="145">
        <f>IF(OR($M39=0,$N39=2),0,IF(VLOOKUP($H39,'How the score is generated'!$B$4:$I$73,6,0)="ü",2,0))</f>
        <v>0</v>
      </c>
      <c r="AJ39" s="35">
        <f>IF(VLOOKUP($H39,'How the score is generated'!$B$4:$I$73,7,0)="ü",$Q39,0)</f>
        <v>0</v>
      </c>
      <c r="AK39" s="36">
        <f>IF(VLOOKUP($H39,'How the score is generated'!$B$4:$I$73,7,0)="ü",$S39,0)</f>
        <v>0</v>
      </c>
      <c r="AL39" s="145">
        <f>IF(OR($M39=0,$N39=2),0,IF(VLOOKUP($H39,'How the score is generated'!$B$4:$I$73,7,0)="ü",2,0))</f>
        <v>0</v>
      </c>
      <c r="AM39" s="35">
        <f>IF(VLOOKUP($H39,'How the score is generated'!$B$4:$I$73,8,0)="ü",$Q39,0)</f>
        <v>0</v>
      </c>
      <c r="AN39" s="36">
        <f>IF(VLOOKUP($H39,'How the score is generated'!$B$4:$I$73,8,0)="ü",$S39,0)</f>
        <v>0</v>
      </c>
      <c r="AO39" s="145">
        <f>IF(OR($M39=0,$N39=2),0,IF(VLOOKUP($H39,'How the score is generated'!$B$4:$I$73,8,0)="ü",2,0))</f>
        <v>0</v>
      </c>
      <c r="AP39" s="23"/>
      <c r="AQ39" s="404" t="s">
        <v>1055</v>
      </c>
      <c r="AR39" s="23"/>
      <c r="AS39" s="146"/>
      <c r="AW39" s="34"/>
      <c r="AX39" s="34" t="str">
        <f t="shared" si="17"/>
        <v/>
      </c>
      <c r="AY39" s="34" t="str">
        <f t="shared" si="18"/>
        <v/>
      </c>
      <c r="AZ39" s="34" t="str">
        <f t="shared" si="19"/>
        <v/>
      </c>
      <c r="BA39" s="34" t="str">
        <f t="shared" si="20"/>
        <v>23. Nearside lane width and configuration</v>
      </c>
      <c r="BB39" s="35">
        <f>IF(VLOOKUP($H39,'How the score is generated (H)'!$B$4:$H$73,2,0)="ü",$Q39,0)</f>
        <v>0</v>
      </c>
      <c r="BC39" s="36">
        <f>IF(VLOOKUP($H39,'How the score is generated (H)'!$B$4:$H$73,2,0)="ü",$S39,0)</f>
        <v>0</v>
      </c>
      <c r="BD39" s="145">
        <f>IF(OR($M39=0,$N39=2),0,IF(VLOOKUP($H39,'How the score is generated (H)'!$B$4:$H$73,2,0)="ü",2,0))</f>
        <v>0</v>
      </c>
      <c r="BE39" s="35">
        <f>IF(VLOOKUP($H39,'How the score is generated (H)'!$B$4:$H$73,3,0)="ü",$Q39,0)</f>
        <v>0</v>
      </c>
      <c r="BF39" s="36">
        <f>IF(VLOOKUP($H39,'How the score is generated (H)'!$B$4:$H$73,3,0)="ü",$S39,0)</f>
        <v>0</v>
      </c>
      <c r="BG39" s="145">
        <f>IF(OR($M39=0,$N39=2),0,IF(VLOOKUP($H39,'How the score is generated (H)'!$B$4:$H$73,3,0)="ü",2,0))</f>
        <v>0</v>
      </c>
      <c r="BH39" s="35">
        <f>IF(VLOOKUP($H39,'How the score is generated (H)'!$B$4:$H$73,4,0)="ü",$Q39,0)</f>
        <v>0</v>
      </c>
      <c r="BI39" s="36">
        <f>IF(VLOOKUP($H39,'How the score is generated (H)'!$B$4:$H$73,4,0)="ü",$S39,0)</f>
        <v>0</v>
      </c>
      <c r="BJ39" s="145">
        <f>IF(OR($M39=0,$N39=2),0,IF(VLOOKUP($H39,'How the score is generated (H)'!$B$4:$H$73,4,0)="ü",2,0))</f>
        <v>2</v>
      </c>
      <c r="BK39" s="35">
        <f>IF(VLOOKUP($H39,'How the score is generated (H)'!$B$4:$H$73,5,0)="ü",$Q39,0)</f>
        <v>0</v>
      </c>
      <c r="BL39" s="36">
        <f>IF(VLOOKUP($H39,'How the score is generated (H)'!$B$4:$H$73,5,0)="ü",$S39,0)</f>
        <v>0</v>
      </c>
      <c r="BM39" s="145">
        <f>IF(OR($M39=0,$N39=2),0,IF(VLOOKUP($H39,'How the score is generated (H)'!$B$4:$H$73,5,0)="ü",2,0))</f>
        <v>0</v>
      </c>
      <c r="BN39" s="35">
        <f>IF(VLOOKUP($H39,'How the score is generated (H)'!$B$4:$H$73,6,0)="ü",$Q39,0)</f>
        <v>0</v>
      </c>
      <c r="BO39" s="36">
        <f>IF(VLOOKUP($H39,'How the score is generated (H)'!$B$4:$H$73,6,0)="ü",$S39,0)</f>
        <v>0</v>
      </c>
      <c r="BP39" s="145">
        <f>IF(OR($M39=0,$N39=2),0,IF(VLOOKUP($H39,'How the score is generated (H)'!$B$4:$H$73,6,0)="ü",2,0))</f>
        <v>0</v>
      </c>
      <c r="BQ39" s="35">
        <f>IF(VLOOKUP($H39,'How the score is generated (H)'!$B$4:$H$73,7,0)="ü",$Q39,0)</f>
        <v>0</v>
      </c>
      <c r="BR39" s="36">
        <f>IF(VLOOKUP($H39,'How the score is generated (H)'!$B$4:$H$73,7,0)="ü",$S39,0)</f>
        <v>0</v>
      </c>
      <c r="BS39" s="145">
        <f>IF(OR($M39=0,$N39=2),0,IF(VLOOKUP($H39,'How the score is generated (H)'!$B$4:$H$73,7,0)="ü",2,0))</f>
        <v>0</v>
      </c>
      <c r="BT39" s="23"/>
      <c r="BU39" s="35">
        <f>IF(VLOOKUP($H39,'How the score is generated (P)'!$B$4:$I$73,2,0)="ü",$Q39,0)</f>
        <v>0</v>
      </c>
      <c r="BV39" s="36">
        <f>IF(VLOOKUP($H39,'How the score is generated (P)'!$B$4:$I$73,2,0)="ü",$S39,0)</f>
        <v>0</v>
      </c>
      <c r="BW39" s="145">
        <f>IF(OR($M39=0,$N39=2),0,IF(VLOOKUP($H39,'How the score is generated (P)'!$B$4:$I$73,2,0)="ü",2,0))</f>
        <v>0</v>
      </c>
      <c r="BX39" s="35">
        <f>IF(VLOOKUP($H39,'How the score is generated (P)'!$B$4:$I$73,3,0)="ü",$Q39,0)</f>
        <v>0</v>
      </c>
      <c r="BY39" s="36">
        <f>IF(VLOOKUP($H39,'How the score is generated (P)'!$B$4:$I$73,3,0)="ü",$S39,0)</f>
        <v>0</v>
      </c>
      <c r="BZ39" s="145">
        <f>IF(OR($M39=0,$N39=2),0,IF(VLOOKUP($H39,'How the score is generated (P)'!$B$4:$I$73,3,0)="ü",2,0))</f>
        <v>0</v>
      </c>
      <c r="CA39" s="35">
        <f>IF(VLOOKUP($H39,'How the score is generated (P)'!$B$4:$I$73,4,0)="ü",$Q39,0)</f>
        <v>0</v>
      </c>
      <c r="CB39" s="36">
        <f>IF(VLOOKUP($H39,'How the score is generated (P)'!$B$4:$I$73,4,0)="ü",$S39,0)</f>
        <v>0</v>
      </c>
      <c r="CC39" s="145">
        <f>IF(OR($M39=0,$N39=2),0,IF(VLOOKUP($H39,'How the score is generated (P)'!$B$4:$I$73,4,0)="ü",2,0))</f>
        <v>0</v>
      </c>
      <c r="CD39" s="35">
        <f>IF(VLOOKUP($H39,'How the score is generated (P)'!$B$4:$I$73,5,0)="ü",$Q39,0)</f>
        <v>0</v>
      </c>
      <c r="CE39" s="36">
        <f>IF(VLOOKUP($H39,'How the score is generated (P)'!$B$4:$I$73,5,0)="ü",$S39,0)</f>
        <v>0</v>
      </c>
      <c r="CF39" s="145">
        <f>IF(OR($M39=0,$N39=2),0,IF(VLOOKUP($H39,'How the score is generated (P)'!$B$4:$I$73,5,0)="ü",2,0))</f>
        <v>0</v>
      </c>
      <c r="CG39" s="35">
        <f>IF(VLOOKUP($H39,'How the score is generated (P)'!$B$4:$I$73,6,0)="ü",$Q39,0)</f>
        <v>0</v>
      </c>
      <c r="CH39" s="36">
        <f>IF(VLOOKUP($H39,'How the score is generated (P)'!$B$4:$I$73,6,0)="ü",$S39,0)</f>
        <v>0</v>
      </c>
      <c r="CI39" s="145">
        <f>IF(OR($M39=0,$N39=2),0,IF(VLOOKUP($H39,'How the score is generated (P)'!$B$4:$I$73,6,0)="ü",2,0))</f>
        <v>0</v>
      </c>
      <c r="CJ39" s="35">
        <f>IF(VLOOKUP($H39,'How the score is generated (P)'!$B$4:$I$73,7,0)="ü",$Q39,0)</f>
        <v>0</v>
      </c>
      <c r="CK39" s="36">
        <f>IF(VLOOKUP($H39,'How the score is generated (P)'!$B$4:$I$73,7,0)="ü",$S39,0)</f>
        <v>0</v>
      </c>
      <c r="CL39" s="145">
        <f>IF(OR($M39=0,$N39=2),0,IF(VLOOKUP($H39,'How the score is generated (P)'!$B$4:$I$73,7,0)="ü",2,0))</f>
        <v>0</v>
      </c>
      <c r="CM39" s="35">
        <f>IF(VLOOKUP($H39,'How the score is generated (P)'!$B$4:$I$73,8,0)="ü",$Q39,0)</f>
        <v>0</v>
      </c>
      <c r="CN39" s="36">
        <f>IF(VLOOKUP($H39,'How the score is generated (P)'!$B$4:$I$73,8,0)="ü",$S39,0)</f>
        <v>0</v>
      </c>
      <c r="CO39" s="145">
        <f>IF(OR($M39=0,$N39=2),0,IF(VLOOKUP($H39,'How the score is generated (P)'!$B$4:$I$73,8,0)="ü",2,0))</f>
        <v>0</v>
      </c>
      <c r="CP39" s="300" t="s">
        <v>1060</v>
      </c>
    </row>
    <row r="40" spans="1:94" ht="93" customHeight="1" thickBot="1" x14ac:dyDescent="0.4">
      <c r="A40" s="23"/>
      <c r="B40" s="31"/>
      <c r="C40" s="68" t="str">
        <f>Validation!$S$5</f>
        <v xml:space="preserve">Group 4. Cycling provision </v>
      </c>
      <c r="D40" s="164">
        <f t="shared" si="21"/>
        <v>24</v>
      </c>
      <c r="E40" s="38" t="s">
        <v>43</v>
      </c>
      <c r="F40" s="168" t="s">
        <v>20</v>
      </c>
      <c r="G40" s="39" t="s">
        <v>1167</v>
      </c>
      <c r="H40" s="41" t="s">
        <v>1166</v>
      </c>
      <c r="I40" s="40" t="s">
        <v>1277</v>
      </c>
      <c r="J40" s="41" t="s">
        <v>980</v>
      </c>
      <c r="K40" s="41" t="s">
        <v>979</v>
      </c>
      <c r="L40" s="42" t="s">
        <v>1005</v>
      </c>
      <c r="M40" s="170">
        <f>IF(Project!$B$27="Off-Street",0,1)</f>
        <v>1</v>
      </c>
      <c r="N40" s="425">
        <f t="shared" si="14"/>
        <v>0</v>
      </c>
      <c r="O40" s="237"/>
      <c r="P40" s="144"/>
      <c r="Q40" s="441">
        <f>IF(OR($M40=0,$O40="N/A"),"NA",VLOOKUP($O40,Validation!$D$2:$E$7,2,0))</f>
        <v>0</v>
      </c>
      <c r="R40" s="129">
        <f t="shared" si="15"/>
        <v>2</v>
      </c>
      <c r="S40" s="441">
        <f>IF(OR($M40=0,$P40="N/A"),"NA",VLOOKUP($P40,Validation!$D$2:$E$7,2,0))</f>
        <v>0</v>
      </c>
      <c r="T40" s="34">
        <f t="shared" si="16"/>
        <v>2</v>
      </c>
      <c r="U40" s="35">
        <f>IF(VLOOKUP($H40,'How the score is generated'!$B$4:$I$73,2,0)="ü",$Q40,0)</f>
        <v>0</v>
      </c>
      <c r="V40" s="36">
        <f>IF(VLOOKUP($H40,'How the score is generated'!$B$4:$I$73,2,0)="ü",$S40,0)</f>
        <v>0</v>
      </c>
      <c r="W40" s="145">
        <f>IF(OR($M40=0,$N40=2),0,IF(VLOOKUP($H40,'How the score is generated'!$B$4:$I$73,2,0)="ü",2,0))</f>
        <v>0</v>
      </c>
      <c r="X40" s="35">
        <f>IF(VLOOKUP($H40,'How the score is generated'!$B$4:$I$73,3,0)="ü",$Q40,0)</f>
        <v>0</v>
      </c>
      <c r="Y40" s="36">
        <f>IF(VLOOKUP($H40,'How the score is generated'!$B$4:$I$73,3,0)="ü",$S40,0)</f>
        <v>0</v>
      </c>
      <c r="Z40" s="145">
        <f>IF(OR($M40=0,$N40=2),0,IF(VLOOKUP($H40,'How the score is generated'!$B$4:$I$73,3,0)="ü",2,0))</f>
        <v>0</v>
      </c>
      <c r="AA40" s="35">
        <f>IF(VLOOKUP($H40,'How the score is generated'!$B$4:$I$73,4,0)="ü",$Q40,0)</f>
        <v>0</v>
      </c>
      <c r="AB40" s="36">
        <f>IF(VLOOKUP($H40,'How the score is generated'!$B$4:$I$73,4,0)="ü",$S40,0)</f>
        <v>0</v>
      </c>
      <c r="AC40" s="145">
        <f>IF(OR($M40=0,$N40=2),0,IF(VLOOKUP($H40,'How the score is generated'!$B$4:$I$73,4,0)="ü",2,0))</f>
        <v>2</v>
      </c>
      <c r="AD40" s="35">
        <f>IF(VLOOKUP($H40,'How the score is generated'!$B$4:$I$73,5,0)="ü",$Q40,0)</f>
        <v>0</v>
      </c>
      <c r="AE40" s="36">
        <f>IF(VLOOKUP($H40,'How the score is generated'!$B$4:$I$73,5,0)="ü",$S40,0)</f>
        <v>0</v>
      </c>
      <c r="AF40" s="145">
        <f>IF(OR($M40=0,$N40=2),0,IF(VLOOKUP($H40,'How the score is generated'!$B$4:$I$73,5,0)="ü",2,0))</f>
        <v>0</v>
      </c>
      <c r="AG40" s="35">
        <f>IF(VLOOKUP($H40,'How the score is generated'!$B$4:$I$73,6,0)="ü",$Q40,0)</f>
        <v>0</v>
      </c>
      <c r="AH40" s="36">
        <f>IF(VLOOKUP($H40,'How the score is generated'!$B$4:$I$73,6,0)="ü",$S40,0)</f>
        <v>0</v>
      </c>
      <c r="AI40" s="145">
        <f>IF(OR($M40=0,$N40=2),0,IF(VLOOKUP($H40,'How the score is generated'!$B$4:$I$73,6,0)="ü",2,0))</f>
        <v>0</v>
      </c>
      <c r="AJ40" s="35">
        <f>IF(VLOOKUP($H40,'How the score is generated'!$B$4:$I$73,7,0)="ü",$Q40,0)</f>
        <v>0</v>
      </c>
      <c r="AK40" s="36">
        <f>IF(VLOOKUP($H40,'How the score is generated'!$B$4:$I$73,7,0)="ü",$S40,0)</f>
        <v>0</v>
      </c>
      <c r="AL40" s="145">
        <f>IF(OR($M40=0,$N40=2),0,IF(VLOOKUP($H40,'How the score is generated'!$B$4:$I$73,7,0)="ü",2,0))</f>
        <v>0</v>
      </c>
      <c r="AM40" s="35">
        <f>IF(VLOOKUP($H40,'How the score is generated'!$B$4:$I$73,8,0)="ü",$Q40,0)</f>
        <v>0</v>
      </c>
      <c r="AN40" s="36">
        <f>IF(VLOOKUP($H40,'How the score is generated'!$B$4:$I$73,8,0)="ü",$S40,0)</f>
        <v>0</v>
      </c>
      <c r="AO40" s="145">
        <f>IF(OR($M40=0,$N40=2),0,IF(VLOOKUP($H40,'How the score is generated'!$B$4:$I$73,8,0)="ü",2,0))</f>
        <v>0</v>
      </c>
      <c r="AP40" s="23"/>
      <c r="AQ40" s="407" t="s">
        <v>1278</v>
      </c>
      <c r="AR40" s="23"/>
      <c r="AS40" s="146"/>
      <c r="AW40" s="34"/>
      <c r="AX40" s="34" t="str">
        <f t="shared" si="17"/>
        <v/>
      </c>
      <c r="AY40" s="34" t="str">
        <f t="shared" si="18"/>
        <v/>
      </c>
      <c r="AZ40" s="34" t="str">
        <f t="shared" si="19"/>
        <v/>
      </c>
      <c r="BA40" s="34" t="str">
        <f t="shared" si="20"/>
        <v>24. Effect of kerbside activity on cyclists</v>
      </c>
      <c r="BB40" s="35">
        <f>IF(VLOOKUP($H40,'How the score is generated (H)'!$B$4:$H$73,2,0)="ü",$Q40,0)</f>
        <v>0</v>
      </c>
      <c r="BC40" s="36">
        <f>IF(VLOOKUP($H40,'How the score is generated (H)'!$B$4:$H$73,2,0)="ü",$S40,0)</f>
        <v>0</v>
      </c>
      <c r="BD40" s="145">
        <f>IF(OR($M40=0,$N40=2),0,IF(VLOOKUP($H40,'How the score is generated (H)'!$B$4:$H$73,2,0)="ü",2,0))</f>
        <v>0</v>
      </c>
      <c r="BE40" s="35">
        <f>IF(VLOOKUP($H40,'How the score is generated (H)'!$B$4:$H$73,3,0)="ü",$Q40,0)</f>
        <v>0</v>
      </c>
      <c r="BF40" s="36">
        <f>IF(VLOOKUP($H40,'How the score is generated (H)'!$B$4:$H$73,3,0)="ü",$S40,0)</f>
        <v>0</v>
      </c>
      <c r="BG40" s="145">
        <f>IF(OR($M40=0,$N40=2),0,IF(VLOOKUP($H40,'How the score is generated (H)'!$B$4:$H$73,3,0)="ü",2,0))</f>
        <v>0</v>
      </c>
      <c r="BH40" s="35">
        <f>IF(VLOOKUP($H40,'How the score is generated (H)'!$B$4:$H$73,4,0)="ü",$Q40,0)</f>
        <v>0</v>
      </c>
      <c r="BI40" s="36">
        <f>IF(VLOOKUP($H40,'How the score is generated (H)'!$B$4:$H$73,4,0)="ü",$S40,0)</f>
        <v>0</v>
      </c>
      <c r="BJ40" s="145">
        <f>IF(OR($M40=0,$N40=2),0,IF(VLOOKUP($H40,'How the score is generated (H)'!$B$4:$H$73,4,0)="ü",2,0))</f>
        <v>2</v>
      </c>
      <c r="BK40" s="35">
        <f>IF(VLOOKUP($H40,'How the score is generated (H)'!$B$4:$H$73,5,0)="ü",$Q40,0)</f>
        <v>0</v>
      </c>
      <c r="BL40" s="36">
        <f>IF(VLOOKUP($H40,'How the score is generated (H)'!$B$4:$H$73,5,0)="ü",$S40,0)</f>
        <v>0</v>
      </c>
      <c r="BM40" s="145">
        <f>IF(OR($M40=0,$N40=2),0,IF(VLOOKUP($H40,'How the score is generated (H)'!$B$4:$H$73,5,0)="ü",2,0))</f>
        <v>0</v>
      </c>
      <c r="BN40" s="35">
        <f>IF(VLOOKUP($H40,'How the score is generated (H)'!$B$4:$H$73,6,0)="ü",$Q40,0)</f>
        <v>0</v>
      </c>
      <c r="BO40" s="36">
        <f>IF(VLOOKUP($H40,'How the score is generated (H)'!$B$4:$H$73,6,0)="ü",$S40,0)</f>
        <v>0</v>
      </c>
      <c r="BP40" s="145">
        <f>IF(OR($M40=0,$N40=2),0,IF(VLOOKUP($H40,'How the score is generated (H)'!$B$4:$H$73,6,0)="ü",2,0))</f>
        <v>0</v>
      </c>
      <c r="BQ40" s="35">
        <f>IF(VLOOKUP($H40,'How the score is generated (H)'!$B$4:$H$73,7,0)="ü",$Q40,0)</f>
        <v>0</v>
      </c>
      <c r="BR40" s="36">
        <f>IF(VLOOKUP($H40,'How the score is generated (H)'!$B$4:$H$73,7,0)="ü",$S40,0)</f>
        <v>0</v>
      </c>
      <c r="BS40" s="145">
        <f>IF(OR($M40=0,$N40=2),0,IF(VLOOKUP($H40,'How the score is generated (H)'!$B$4:$H$73,7,0)="ü",2,0))</f>
        <v>0</v>
      </c>
      <c r="BT40" s="23"/>
      <c r="BU40" s="35">
        <f>IF(VLOOKUP($H40,'How the score is generated (P)'!$B$4:$I$73,2,0)="ü",$Q40,0)</f>
        <v>0</v>
      </c>
      <c r="BV40" s="36">
        <f>IF(VLOOKUP($H40,'How the score is generated (P)'!$B$4:$I$73,2,0)="ü",$S40,0)</f>
        <v>0</v>
      </c>
      <c r="BW40" s="145">
        <f>IF(OR($M40=0,$N40=2),0,IF(VLOOKUP($H40,'How the score is generated (P)'!$B$4:$I$73,2,0)="ü",2,0))</f>
        <v>0</v>
      </c>
      <c r="BX40" s="35">
        <f>IF(VLOOKUP($H40,'How the score is generated (P)'!$B$4:$I$73,3,0)="ü",$Q40,0)</f>
        <v>0</v>
      </c>
      <c r="BY40" s="36">
        <f>IF(VLOOKUP($H40,'How the score is generated (P)'!$B$4:$I$73,3,0)="ü",$S40,0)</f>
        <v>0</v>
      </c>
      <c r="BZ40" s="145">
        <f>IF(OR($M40=0,$N40=2),0,IF(VLOOKUP($H40,'How the score is generated (P)'!$B$4:$I$73,3,0)="ü",2,0))</f>
        <v>0</v>
      </c>
      <c r="CA40" s="35">
        <f>IF(VLOOKUP($H40,'How the score is generated (P)'!$B$4:$I$73,4,0)="ü",$Q40,0)</f>
        <v>0</v>
      </c>
      <c r="CB40" s="36">
        <f>IF(VLOOKUP($H40,'How the score is generated (P)'!$B$4:$I$73,4,0)="ü",$S40,0)</f>
        <v>0</v>
      </c>
      <c r="CC40" s="145">
        <f>IF(OR($M40=0,$N40=2),0,IF(VLOOKUP($H40,'How the score is generated (P)'!$B$4:$I$73,4,0)="ü",2,0))</f>
        <v>0</v>
      </c>
      <c r="CD40" s="35">
        <f>IF(VLOOKUP($H40,'How the score is generated (P)'!$B$4:$I$73,5,0)="ü",$Q40,0)</f>
        <v>0</v>
      </c>
      <c r="CE40" s="36">
        <f>IF(VLOOKUP($H40,'How the score is generated (P)'!$B$4:$I$73,5,0)="ü",$S40,0)</f>
        <v>0</v>
      </c>
      <c r="CF40" s="145">
        <f>IF(OR($M40=0,$N40=2),0,IF(VLOOKUP($H40,'How the score is generated (P)'!$B$4:$I$73,5,0)="ü",2,0))</f>
        <v>0</v>
      </c>
      <c r="CG40" s="35">
        <f>IF(VLOOKUP($H40,'How the score is generated (P)'!$B$4:$I$73,6,0)="ü",$Q40,0)</f>
        <v>0</v>
      </c>
      <c r="CH40" s="36">
        <f>IF(VLOOKUP($H40,'How the score is generated (P)'!$B$4:$I$73,6,0)="ü",$S40,0)</f>
        <v>0</v>
      </c>
      <c r="CI40" s="145">
        <f>IF(OR($M40=0,$N40=2),0,IF(VLOOKUP($H40,'How the score is generated (P)'!$B$4:$I$73,6,0)="ü",2,0))</f>
        <v>0</v>
      </c>
      <c r="CJ40" s="35">
        <f>IF(VLOOKUP($H40,'How the score is generated (P)'!$B$4:$I$73,7,0)="ü",$Q40,0)</f>
        <v>0</v>
      </c>
      <c r="CK40" s="36">
        <f>IF(VLOOKUP($H40,'How the score is generated (P)'!$B$4:$I$73,7,0)="ü",$S40,0)</f>
        <v>0</v>
      </c>
      <c r="CL40" s="145">
        <f>IF(OR($M40=0,$N40=2),0,IF(VLOOKUP($H40,'How the score is generated (P)'!$B$4:$I$73,7,0)="ü",2,0))</f>
        <v>0</v>
      </c>
      <c r="CM40" s="35">
        <f>IF(VLOOKUP($H40,'How the score is generated (P)'!$B$4:$I$73,8,0)="ü",$Q40,0)</f>
        <v>0</v>
      </c>
      <c r="CN40" s="36">
        <f>IF(VLOOKUP($H40,'How the score is generated (P)'!$B$4:$I$73,8,0)="ü",$S40,0)</f>
        <v>0</v>
      </c>
      <c r="CO40" s="145">
        <f>IF(OR($M40=0,$N40=2),0,IF(VLOOKUP($H40,'How the score is generated (P)'!$B$4:$I$73,8,0)="ü",2,0))</f>
        <v>0</v>
      </c>
      <c r="CP40" s="300" t="s">
        <v>1059</v>
      </c>
    </row>
    <row r="41" spans="1:94" ht="61.5" customHeight="1" thickBot="1" x14ac:dyDescent="0.4">
      <c r="A41" s="23"/>
      <c r="B41" s="31"/>
      <c r="C41" s="68" t="str">
        <f>Validation!$S$5</f>
        <v xml:space="preserve">Group 4. Cycling provision </v>
      </c>
      <c r="D41" s="164">
        <f t="shared" si="21"/>
        <v>25</v>
      </c>
      <c r="E41" s="38" t="s">
        <v>43</v>
      </c>
      <c r="F41" s="168" t="s">
        <v>20</v>
      </c>
      <c r="G41" s="39" t="s">
        <v>1168</v>
      </c>
      <c r="H41" s="41" t="s">
        <v>503</v>
      </c>
      <c r="I41" s="390" t="s">
        <v>896</v>
      </c>
      <c r="J41" s="41" t="s">
        <v>504</v>
      </c>
      <c r="K41" s="41" t="s">
        <v>505</v>
      </c>
      <c r="L41" s="42" t="s">
        <v>506</v>
      </c>
      <c r="M41" s="170">
        <f>IF(Project!$B$27="Off-Street",0,1)</f>
        <v>1</v>
      </c>
      <c r="N41" s="425">
        <f t="shared" si="14"/>
        <v>0</v>
      </c>
      <c r="O41" s="237"/>
      <c r="P41" s="144"/>
      <c r="Q41" s="441">
        <f>IF(OR($M41=0,$O41="N/A"),"NA",VLOOKUP($O41,Validation!$D$2:$E$7,2,0))</f>
        <v>0</v>
      </c>
      <c r="R41" s="129">
        <f t="shared" si="15"/>
        <v>2</v>
      </c>
      <c r="S41" s="441">
        <f>IF(OR($M41=0,$P41="N/A"),"NA",VLOOKUP($P41,Validation!$D$2:$E$7,2,0))</f>
        <v>0</v>
      </c>
      <c r="T41" s="34">
        <f t="shared" si="16"/>
        <v>2</v>
      </c>
      <c r="U41" s="35">
        <f>IF(VLOOKUP($H41,'How the score is generated'!$B$4:$I$73,2,0)="ü",$Q41,0)</f>
        <v>0</v>
      </c>
      <c r="V41" s="36">
        <f>IF(VLOOKUP($H41,'How the score is generated'!$B$4:$I$73,2,0)="ü",$S41,0)</f>
        <v>0</v>
      </c>
      <c r="W41" s="145">
        <f>IF(OR($M41=0,$N41=2),0,IF(VLOOKUP($H41,'How the score is generated'!$B$4:$I$73,2,0)="ü",2,0))</f>
        <v>0</v>
      </c>
      <c r="X41" s="35">
        <f>IF(VLOOKUP($H41,'How the score is generated'!$B$4:$I$73,3,0)="ü",$Q41,0)</f>
        <v>0</v>
      </c>
      <c r="Y41" s="36">
        <f>IF(VLOOKUP($H41,'How the score is generated'!$B$4:$I$73,3,0)="ü",$S41,0)</f>
        <v>0</v>
      </c>
      <c r="Z41" s="145">
        <f>IF(OR($M41=0,$N41=2),0,IF(VLOOKUP($H41,'How the score is generated'!$B$4:$I$73,3,0)="ü",2,0))</f>
        <v>0</v>
      </c>
      <c r="AA41" s="35">
        <f>IF(VLOOKUP($H41,'How the score is generated'!$B$4:$I$73,4,0)="ü",$Q41,0)</f>
        <v>0</v>
      </c>
      <c r="AB41" s="36">
        <f>IF(VLOOKUP($H41,'How the score is generated'!$B$4:$I$73,4,0)="ü",$S41,0)</f>
        <v>0</v>
      </c>
      <c r="AC41" s="145">
        <f>IF(OR($M41=0,$N41=2),0,IF(VLOOKUP($H41,'How the score is generated'!$B$4:$I$73,4,0)="ü",2,0))</f>
        <v>2</v>
      </c>
      <c r="AD41" s="35">
        <f>IF(VLOOKUP($H41,'How the score is generated'!$B$4:$I$73,5,0)="ü",$Q41,0)</f>
        <v>0</v>
      </c>
      <c r="AE41" s="36">
        <f>IF(VLOOKUP($H41,'How the score is generated'!$B$4:$I$73,5,0)="ü",$S41,0)</f>
        <v>0</v>
      </c>
      <c r="AF41" s="145">
        <f>IF(OR($M41=0,$N41=2),0,IF(VLOOKUP($H41,'How the score is generated'!$B$4:$I$73,5,0)="ü",2,0))</f>
        <v>0</v>
      </c>
      <c r="AG41" s="35">
        <f>IF(VLOOKUP($H41,'How the score is generated'!$B$4:$I$73,6,0)="ü",$Q41,0)</f>
        <v>0</v>
      </c>
      <c r="AH41" s="36">
        <f>IF(VLOOKUP($H41,'How the score is generated'!$B$4:$I$73,6,0)="ü",$S41,0)</f>
        <v>0</v>
      </c>
      <c r="AI41" s="145">
        <f>IF(OR($M41=0,$N41=2),0,IF(VLOOKUP($H41,'How the score is generated'!$B$4:$I$73,6,0)="ü",2,0))</f>
        <v>0</v>
      </c>
      <c r="AJ41" s="35">
        <f>IF(VLOOKUP($H41,'How the score is generated'!$B$4:$I$73,7,0)="ü",$Q41,0)</f>
        <v>0</v>
      </c>
      <c r="AK41" s="36">
        <f>IF(VLOOKUP($H41,'How the score is generated'!$B$4:$I$73,7,0)="ü",$S41,0)</f>
        <v>0</v>
      </c>
      <c r="AL41" s="145">
        <f>IF(OR($M41=0,$N41=2),0,IF(VLOOKUP($H41,'How the score is generated'!$B$4:$I$73,7,0)="ü",2,0))</f>
        <v>0</v>
      </c>
      <c r="AM41" s="35">
        <f>IF(VLOOKUP($H41,'How the score is generated'!$B$4:$I$73,8,0)="ü",$Q41,0)</f>
        <v>0</v>
      </c>
      <c r="AN41" s="36">
        <f>IF(VLOOKUP($H41,'How the score is generated'!$B$4:$I$73,8,0)="ü",$S41,0)</f>
        <v>0</v>
      </c>
      <c r="AO41" s="145">
        <f>IF(OR($M41=0,$N41=2),0,IF(VLOOKUP($H41,'How the score is generated'!$B$4:$I$73,8,0)="ü",2,0))</f>
        <v>0</v>
      </c>
      <c r="AP41" s="23"/>
      <c r="AQ41" s="404" t="s">
        <v>1007</v>
      </c>
      <c r="AR41" s="23"/>
      <c r="AS41" s="146"/>
      <c r="AW41" s="34"/>
      <c r="AX41" s="34" t="str">
        <f t="shared" si="17"/>
        <v/>
      </c>
      <c r="AY41" s="34" t="str">
        <f t="shared" si="18"/>
        <v/>
      </c>
      <c r="AZ41" s="34" t="str">
        <f t="shared" si="19"/>
        <v/>
      </c>
      <c r="BA41" s="34" t="str">
        <f t="shared" si="20"/>
        <v>25. Deviation of route end-end vs shortest road alternative</v>
      </c>
      <c r="BB41" s="35">
        <f>IF(VLOOKUP($H41,'How the score is generated (H)'!$B$4:$H$73,2,0)="ü",$Q41,0)</f>
        <v>0</v>
      </c>
      <c r="BC41" s="36">
        <f>IF(VLOOKUP($H41,'How the score is generated (H)'!$B$4:$H$73,2,0)="ü",$S41,0)</f>
        <v>0</v>
      </c>
      <c r="BD41" s="145">
        <f>IF(OR($M41=0,$N41=2),0,IF(VLOOKUP($H41,'How the score is generated (H)'!$B$4:$H$73,2,0)="ü",2,0))</f>
        <v>0</v>
      </c>
      <c r="BE41" s="35">
        <f>IF(VLOOKUP($H41,'How the score is generated (H)'!$B$4:$H$73,3,0)="ü",$Q41,0)</f>
        <v>0</v>
      </c>
      <c r="BF41" s="36">
        <f>IF(VLOOKUP($H41,'How the score is generated (H)'!$B$4:$H$73,3,0)="ü",$S41,0)</f>
        <v>0</v>
      </c>
      <c r="BG41" s="145">
        <f>IF(OR($M41=0,$N41=2),0,IF(VLOOKUP($H41,'How the score is generated (H)'!$B$4:$H$73,3,0)="ü",2,0))</f>
        <v>0</v>
      </c>
      <c r="BH41" s="35">
        <f>IF(VLOOKUP($H41,'How the score is generated (H)'!$B$4:$H$73,4,0)="ü",$Q41,0)</f>
        <v>0</v>
      </c>
      <c r="BI41" s="36">
        <f>IF(VLOOKUP($H41,'How the score is generated (H)'!$B$4:$H$73,4,0)="ü",$S41,0)</f>
        <v>0</v>
      </c>
      <c r="BJ41" s="145">
        <f>IF(OR($M41=0,$N41=2),0,IF(VLOOKUP($H41,'How the score is generated (H)'!$B$4:$H$73,4,0)="ü",2,0))</f>
        <v>2</v>
      </c>
      <c r="BK41" s="35">
        <f>IF(VLOOKUP($H41,'How the score is generated (H)'!$B$4:$H$73,5,0)="ü",$Q41,0)</f>
        <v>0</v>
      </c>
      <c r="BL41" s="36">
        <f>IF(VLOOKUP($H41,'How the score is generated (H)'!$B$4:$H$73,5,0)="ü",$S41,0)</f>
        <v>0</v>
      </c>
      <c r="BM41" s="145">
        <f>IF(OR($M41=0,$N41=2),0,IF(VLOOKUP($H41,'How the score is generated (H)'!$B$4:$H$73,5,0)="ü",2,0))</f>
        <v>0</v>
      </c>
      <c r="BN41" s="35">
        <f>IF(VLOOKUP($H41,'How the score is generated (H)'!$B$4:$H$73,6,0)="ü",$Q41,0)</f>
        <v>0</v>
      </c>
      <c r="BO41" s="36">
        <f>IF(VLOOKUP($H41,'How the score is generated (H)'!$B$4:$H$73,6,0)="ü",$S41,0)</f>
        <v>0</v>
      </c>
      <c r="BP41" s="145">
        <f>IF(OR($M41=0,$N41=2),0,IF(VLOOKUP($H41,'How the score is generated (H)'!$B$4:$H$73,6,0)="ü",2,0))</f>
        <v>0</v>
      </c>
      <c r="BQ41" s="35">
        <f>IF(VLOOKUP($H41,'How the score is generated (H)'!$B$4:$H$73,7,0)="ü",$Q41,0)</f>
        <v>0</v>
      </c>
      <c r="BR41" s="36">
        <f>IF(VLOOKUP($H41,'How the score is generated (H)'!$B$4:$H$73,7,0)="ü",$S41,0)</f>
        <v>0</v>
      </c>
      <c r="BS41" s="145">
        <f>IF(OR($M41=0,$N41=2),0,IF(VLOOKUP($H41,'How the score is generated (H)'!$B$4:$H$73,7,0)="ü",2,0))</f>
        <v>0</v>
      </c>
      <c r="BT41" s="23"/>
      <c r="BU41" s="35">
        <f>IF(VLOOKUP($H41,'How the score is generated (P)'!$B$4:$I$73,2,0)="ü",$Q41,0)</f>
        <v>0</v>
      </c>
      <c r="BV41" s="36">
        <f>IF(VLOOKUP($H41,'How the score is generated (P)'!$B$4:$I$73,2,0)="ü",$S41,0)</f>
        <v>0</v>
      </c>
      <c r="BW41" s="145">
        <f>IF(OR($M41=0,$N41=2),0,IF(VLOOKUP($H41,'How the score is generated (P)'!$B$4:$I$73,2,0)="ü",2,0))</f>
        <v>0</v>
      </c>
      <c r="BX41" s="35">
        <f>IF(VLOOKUP($H41,'How the score is generated (P)'!$B$4:$I$73,3,0)="ü",$Q41,0)</f>
        <v>0</v>
      </c>
      <c r="BY41" s="36">
        <f>IF(VLOOKUP($H41,'How the score is generated (P)'!$B$4:$I$73,3,0)="ü",$S41,0)</f>
        <v>0</v>
      </c>
      <c r="BZ41" s="145">
        <f>IF(OR($M41=0,$N41=2),0,IF(VLOOKUP($H41,'How the score is generated (P)'!$B$4:$I$73,3,0)="ü",2,0))</f>
        <v>0</v>
      </c>
      <c r="CA41" s="35">
        <f>IF(VLOOKUP($H41,'How the score is generated (P)'!$B$4:$I$73,4,0)="ü",$Q41,0)</f>
        <v>0</v>
      </c>
      <c r="CB41" s="36">
        <f>IF(VLOOKUP($H41,'How the score is generated (P)'!$B$4:$I$73,4,0)="ü",$S41,0)</f>
        <v>0</v>
      </c>
      <c r="CC41" s="145">
        <f>IF(OR($M41=0,$N41=2),0,IF(VLOOKUP($H41,'How the score is generated (P)'!$B$4:$I$73,4,0)="ü",2,0))</f>
        <v>0</v>
      </c>
      <c r="CD41" s="35">
        <f>IF(VLOOKUP($H41,'How the score is generated (P)'!$B$4:$I$73,5,0)="ü",$Q41,0)</f>
        <v>0</v>
      </c>
      <c r="CE41" s="36">
        <f>IF(VLOOKUP($H41,'How the score is generated (P)'!$B$4:$I$73,5,0)="ü",$S41,0)</f>
        <v>0</v>
      </c>
      <c r="CF41" s="145">
        <f>IF(OR($M41=0,$N41=2),0,IF(VLOOKUP($H41,'How the score is generated (P)'!$B$4:$I$73,5,0)="ü",2,0))</f>
        <v>0</v>
      </c>
      <c r="CG41" s="35">
        <f>IF(VLOOKUP($H41,'How the score is generated (P)'!$B$4:$I$73,6,0)="ü",$Q41,0)</f>
        <v>0</v>
      </c>
      <c r="CH41" s="36">
        <f>IF(VLOOKUP($H41,'How the score is generated (P)'!$B$4:$I$73,6,0)="ü",$S41,0)</f>
        <v>0</v>
      </c>
      <c r="CI41" s="145">
        <f>IF(OR($M41=0,$N41=2),0,IF(VLOOKUP($H41,'How the score is generated (P)'!$B$4:$I$73,6,0)="ü",2,0))</f>
        <v>0</v>
      </c>
      <c r="CJ41" s="35">
        <f>IF(VLOOKUP($H41,'How the score is generated (P)'!$B$4:$I$73,7,0)="ü",$Q41,0)</f>
        <v>0</v>
      </c>
      <c r="CK41" s="36">
        <f>IF(VLOOKUP($H41,'How the score is generated (P)'!$B$4:$I$73,7,0)="ü",$S41,0)</f>
        <v>0</v>
      </c>
      <c r="CL41" s="145">
        <f>IF(OR($M41=0,$N41=2),0,IF(VLOOKUP($H41,'How the score is generated (P)'!$B$4:$I$73,7,0)="ü",2,0))</f>
        <v>0</v>
      </c>
      <c r="CM41" s="35">
        <f>IF(VLOOKUP($H41,'How the score is generated (P)'!$B$4:$I$73,8,0)="ü",$Q41,0)</f>
        <v>0</v>
      </c>
      <c r="CN41" s="36">
        <f>IF(VLOOKUP($H41,'How the score is generated (P)'!$B$4:$I$73,8,0)="ü",$S41,0)</f>
        <v>0</v>
      </c>
      <c r="CO41" s="145">
        <f>IF(OR($M41=0,$N41=2),0,IF(VLOOKUP($H41,'How the score is generated (P)'!$B$4:$I$73,8,0)="ü",2,0))</f>
        <v>0</v>
      </c>
      <c r="CP41" s="300" t="s">
        <v>1097</v>
      </c>
    </row>
    <row r="42" spans="1:94" ht="68.5" customHeight="1" thickBot="1" x14ac:dyDescent="0.4">
      <c r="A42" s="23"/>
      <c r="B42" s="31"/>
      <c r="C42" s="68" t="str">
        <f>Validation!$S$5</f>
        <v xml:space="preserve">Group 4. Cycling provision </v>
      </c>
      <c r="D42" s="164">
        <f>D41+1</f>
        <v>26</v>
      </c>
      <c r="E42" s="38" t="s">
        <v>43</v>
      </c>
      <c r="F42" s="168" t="s">
        <v>20</v>
      </c>
      <c r="G42" s="39" t="s">
        <v>1244</v>
      </c>
      <c r="H42" s="41" t="s">
        <v>1245</v>
      </c>
      <c r="I42" s="390" t="s">
        <v>896</v>
      </c>
      <c r="J42" s="41" t="s">
        <v>1010</v>
      </c>
      <c r="K42" s="41" t="s">
        <v>1009</v>
      </c>
      <c r="L42" s="42" t="s">
        <v>1008</v>
      </c>
      <c r="M42" s="170">
        <f>IF(Project!$B$27="Off-Street",0,1)</f>
        <v>1</v>
      </c>
      <c r="N42" s="425">
        <f t="shared" si="14"/>
        <v>0</v>
      </c>
      <c r="O42" s="237"/>
      <c r="P42" s="144"/>
      <c r="Q42" s="441">
        <f>IF(OR($M42=0,$O42="N/A"),"NA",VLOOKUP($O42,Validation!$D$2:$E$7,2,0))</f>
        <v>0</v>
      </c>
      <c r="R42" s="129">
        <f t="shared" si="15"/>
        <v>2</v>
      </c>
      <c r="S42" s="441">
        <f>IF(OR($M42=0,$P42="N/A"),"NA",VLOOKUP($P42,Validation!$D$2:$E$7,2,0))</f>
        <v>0</v>
      </c>
      <c r="T42" s="34">
        <f t="shared" si="16"/>
        <v>2</v>
      </c>
      <c r="U42" s="35">
        <f>IF(VLOOKUP($H42,'How the score is generated'!$B$4:$I$73,2,0)="ü",$Q42,0)</f>
        <v>0</v>
      </c>
      <c r="V42" s="36">
        <f>IF(VLOOKUP($H42,'How the score is generated'!$B$4:$I$73,2,0)="ü",$S42,0)</f>
        <v>0</v>
      </c>
      <c r="W42" s="145">
        <f>IF(OR($M42=0,$N42=2),0,IF(VLOOKUP($H42,'How the score is generated'!$B$4:$I$73,2,0)="ü",2,0))</f>
        <v>0</v>
      </c>
      <c r="X42" s="35">
        <f>IF(VLOOKUP($H42,'How the score is generated'!$B$4:$I$73,3,0)="ü",$Q42,0)</f>
        <v>0</v>
      </c>
      <c r="Y42" s="36">
        <f>IF(VLOOKUP($H42,'How the score is generated'!$B$4:$I$73,3,0)="ü",$S42,0)</f>
        <v>0</v>
      </c>
      <c r="Z42" s="145">
        <f>IF(OR($M42=0,$N42=2),0,IF(VLOOKUP($H42,'How the score is generated'!$B$4:$I$73,3,0)="ü",2,0))</f>
        <v>0</v>
      </c>
      <c r="AA42" s="35">
        <f>IF(VLOOKUP($H42,'How the score is generated'!$B$4:$I$73,4,0)="ü",$Q42,0)</f>
        <v>0</v>
      </c>
      <c r="AB42" s="36">
        <f>IF(VLOOKUP($H42,'How the score is generated'!$B$4:$I$73,4,0)="ü",$S42,0)</f>
        <v>0</v>
      </c>
      <c r="AC42" s="145">
        <f>IF(OR($M42=0,$N42=2),0,IF(VLOOKUP($H42,'How the score is generated'!$B$4:$I$73,4,0)="ü",2,0))</f>
        <v>2</v>
      </c>
      <c r="AD42" s="35">
        <f>IF(VLOOKUP($H42,'How the score is generated'!$B$4:$I$73,5,0)="ü",$Q42,0)</f>
        <v>0</v>
      </c>
      <c r="AE42" s="36">
        <f>IF(VLOOKUP($H42,'How the score is generated'!$B$4:$I$73,5,0)="ü",$S42,0)</f>
        <v>0</v>
      </c>
      <c r="AF42" s="145">
        <f>IF(OR($M42=0,$N42=2),0,IF(VLOOKUP($H42,'How the score is generated'!$B$4:$I$73,5,0)="ü",2,0))</f>
        <v>0</v>
      </c>
      <c r="AG42" s="35">
        <f>IF(VLOOKUP($H42,'How the score is generated'!$B$4:$I$73,6,0)="ü",$Q42,0)</f>
        <v>0</v>
      </c>
      <c r="AH42" s="36">
        <f>IF(VLOOKUP($H42,'How the score is generated'!$B$4:$I$73,6,0)="ü",$S42,0)</f>
        <v>0</v>
      </c>
      <c r="AI42" s="145">
        <f>IF(OR($M42=0,$N42=2),0,IF(VLOOKUP($H42,'How the score is generated'!$B$4:$I$73,6,0)="ü",2,0))</f>
        <v>0</v>
      </c>
      <c r="AJ42" s="35">
        <f>IF(VLOOKUP($H42,'How the score is generated'!$B$4:$I$73,7,0)="ü",$Q42,0)</f>
        <v>0</v>
      </c>
      <c r="AK42" s="36">
        <f>IF(VLOOKUP($H42,'How the score is generated'!$B$4:$I$73,7,0)="ü",$S42,0)</f>
        <v>0</v>
      </c>
      <c r="AL42" s="145">
        <f>IF(OR($M42=0,$N42=2),0,IF(VLOOKUP($H42,'How the score is generated'!$B$4:$I$73,7,0)="ü",2,0))</f>
        <v>0</v>
      </c>
      <c r="AM42" s="35">
        <f>IF(VLOOKUP($H42,'How the score is generated'!$B$4:$I$73,8,0)="ü",$Q42,0)</f>
        <v>0</v>
      </c>
      <c r="AN42" s="36">
        <f>IF(VLOOKUP($H42,'How the score is generated'!$B$4:$I$73,8,0)="ü",$S42,0)</f>
        <v>0</v>
      </c>
      <c r="AO42" s="145">
        <f>IF(OR($M42=0,$N42=2),0,IF(VLOOKUP($H42,'How the score is generated'!$B$4:$I$73,8,0)="ü",2,0))</f>
        <v>0</v>
      </c>
      <c r="AP42" s="23"/>
      <c r="AQ42" s="407" t="s">
        <v>1132</v>
      </c>
      <c r="AR42" s="23"/>
      <c r="AS42" s="146"/>
      <c r="AW42" s="34"/>
      <c r="AX42" s="34" t="str">
        <f t="shared" si="17"/>
        <v/>
      </c>
      <c r="AY42" s="34" t="str">
        <f t="shared" si="18"/>
        <v/>
      </c>
      <c r="AZ42" s="34" t="str">
        <f t="shared" si="19"/>
        <v/>
      </c>
      <c r="BA42" s="34" t="str">
        <f t="shared" si="20"/>
        <v>26. Cyclist's ability to pass other users</v>
      </c>
      <c r="BB42" s="35">
        <f>IF(VLOOKUP($H42,'How the score is generated (H)'!$B$4:$H$73,2,0)="ü",$Q42,0)</f>
        <v>0</v>
      </c>
      <c r="BC42" s="36">
        <f>IF(VLOOKUP($H42,'How the score is generated (H)'!$B$4:$H$73,2,0)="ü",$S42,0)</f>
        <v>0</v>
      </c>
      <c r="BD42" s="145">
        <f>IF(OR($M42=0,$N42=2),0,IF(VLOOKUP($H42,'How the score is generated (H)'!$B$4:$H$73,2,0)="ü",2,0))</f>
        <v>0</v>
      </c>
      <c r="BE42" s="35">
        <f>IF(VLOOKUP($H42,'How the score is generated (H)'!$B$4:$H$73,3,0)="ü",$Q42,0)</f>
        <v>0</v>
      </c>
      <c r="BF42" s="36">
        <f>IF(VLOOKUP($H42,'How the score is generated (H)'!$B$4:$H$73,3,0)="ü",$S42,0)</f>
        <v>0</v>
      </c>
      <c r="BG42" s="145">
        <f>IF(OR($M42=0,$N42=2),0,IF(VLOOKUP($H42,'How the score is generated (H)'!$B$4:$H$73,3,0)="ü",2,0))</f>
        <v>0</v>
      </c>
      <c r="BH42" s="35">
        <f>IF(VLOOKUP($H42,'How the score is generated (H)'!$B$4:$H$73,4,0)="ü",$Q42,0)</f>
        <v>0</v>
      </c>
      <c r="BI42" s="36">
        <f>IF(VLOOKUP($H42,'How the score is generated (H)'!$B$4:$H$73,4,0)="ü",$S42,0)</f>
        <v>0</v>
      </c>
      <c r="BJ42" s="145">
        <f>IF(OR($M42=0,$N42=2),0,IF(VLOOKUP($H42,'How the score is generated (H)'!$B$4:$H$73,4,0)="ü",2,0))</f>
        <v>2</v>
      </c>
      <c r="BK42" s="35">
        <f>IF(VLOOKUP($H42,'How the score is generated (H)'!$B$4:$H$73,5,0)="ü",$Q42,0)</f>
        <v>0</v>
      </c>
      <c r="BL42" s="36">
        <f>IF(VLOOKUP($H42,'How the score is generated (H)'!$B$4:$H$73,5,0)="ü",$S42,0)</f>
        <v>0</v>
      </c>
      <c r="BM42" s="145">
        <f>IF(OR($M42=0,$N42=2),0,IF(VLOOKUP($H42,'How the score is generated (H)'!$B$4:$H$73,5,0)="ü",2,0))</f>
        <v>0</v>
      </c>
      <c r="BN42" s="35">
        <f>IF(VLOOKUP($H42,'How the score is generated (H)'!$B$4:$H$73,6,0)="ü",$Q42,0)</f>
        <v>0</v>
      </c>
      <c r="BO42" s="36">
        <f>IF(VLOOKUP($H42,'How the score is generated (H)'!$B$4:$H$73,6,0)="ü",$S42,0)</f>
        <v>0</v>
      </c>
      <c r="BP42" s="145">
        <f>IF(OR($M42=0,$N42=2),0,IF(VLOOKUP($H42,'How the score is generated (H)'!$B$4:$H$73,6,0)="ü",2,0))</f>
        <v>0</v>
      </c>
      <c r="BQ42" s="35">
        <f>IF(VLOOKUP($H42,'How the score is generated (H)'!$B$4:$H$73,7,0)="ü",$Q42,0)</f>
        <v>0</v>
      </c>
      <c r="BR42" s="36">
        <f>IF(VLOOKUP($H42,'How the score is generated (H)'!$B$4:$H$73,7,0)="ü",$S42,0)</f>
        <v>0</v>
      </c>
      <c r="BS42" s="145">
        <f>IF(OR($M42=0,$N42=2),0,IF(VLOOKUP($H42,'How the score is generated (H)'!$B$4:$H$73,7,0)="ü",2,0))</f>
        <v>0</v>
      </c>
      <c r="BT42" s="23"/>
      <c r="BU42" s="35">
        <f>IF(VLOOKUP($H42,'How the score is generated (P)'!$B$4:$I$73,2,0)="ü",$Q42,0)</f>
        <v>0</v>
      </c>
      <c r="BV42" s="36">
        <f>IF(VLOOKUP($H42,'How the score is generated (P)'!$B$4:$I$73,2,0)="ü",$S42,0)</f>
        <v>0</v>
      </c>
      <c r="BW42" s="145">
        <f>IF(OR($M42=0,$N42=2),0,IF(VLOOKUP($H42,'How the score is generated (P)'!$B$4:$I$73,2,0)="ü",2,0))</f>
        <v>0</v>
      </c>
      <c r="BX42" s="35">
        <f>IF(VLOOKUP($H42,'How the score is generated (P)'!$B$4:$I$73,3,0)="ü",$Q42,0)</f>
        <v>0</v>
      </c>
      <c r="BY42" s="36">
        <f>IF(VLOOKUP($H42,'How the score is generated (P)'!$B$4:$I$73,3,0)="ü",$S42,0)</f>
        <v>0</v>
      </c>
      <c r="BZ42" s="145">
        <f>IF(OR($M42=0,$N42=2),0,IF(VLOOKUP($H42,'How the score is generated (P)'!$B$4:$I$73,3,0)="ü",2,0))</f>
        <v>0</v>
      </c>
      <c r="CA42" s="35">
        <f>IF(VLOOKUP($H42,'How the score is generated (P)'!$B$4:$I$73,4,0)="ü",$Q42,0)</f>
        <v>0</v>
      </c>
      <c r="CB42" s="36">
        <f>IF(VLOOKUP($H42,'How the score is generated (P)'!$B$4:$I$73,4,0)="ü",$S42,0)</f>
        <v>0</v>
      </c>
      <c r="CC42" s="145">
        <f>IF(OR($M42=0,$N42=2),0,IF(VLOOKUP($H42,'How the score is generated (P)'!$B$4:$I$73,4,0)="ü",2,0))</f>
        <v>0</v>
      </c>
      <c r="CD42" s="35">
        <f>IF(VLOOKUP($H42,'How the score is generated (P)'!$B$4:$I$73,5,0)="ü",$Q42,0)</f>
        <v>0</v>
      </c>
      <c r="CE42" s="36">
        <f>IF(VLOOKUP($H42,'How the score is generated (P)'!$B$4:$I$73,5,0)="ü",$S42,0)</f>
        <v>0</v>
      </c>
      <c r="CF42" s="145">
        <f>IF(OR($M42=0,$N42=2),0,IF(VLOOKUP($H42,'How the score is generated (P)'!$B$4:$I$73,5,0)="ü",2,0))</f>
        <v>0</v>
      </c>
      <c r="CG42" s="35">
        <f>IF(VLOOKUP($H42,'How the score is generated (P)'!$B$4:$I$73,6,0)="ü",$Q42,0)</f>
        <v>0</v>
      </c>
      <c r="CH42" s="36">
        <f>IF(VLOOKUP($H42,'How the score is generated (P)'!$B$4:$I$73,6,0)="ü",$S42,0)</f>
        <v>0</v>
      </c>
      <c r="CI42" s="145">
        <f>IF(OR($M42=0,$N42=2),0,IF(VLOOKUP($H42,'How the score is generated (P)'!$B$4:$I$73,6,0)="ü",2,0))</f>
        <v>0</v>
      </c>
      <c r="CJ42" s="35">
        <f>IF(VLOOKUP($H42,'How the score is generated (P)'!$B$4:$I$73,7,0)="ü",$Q42,0)</f>
        <v>0</v>
      </c>
      <c r="CK42" s="36">
        <f>IF(VLOOKUP($H42,'How the score is generated (P)'!$B$4:$I$73,7,0)="ü",$S42,0)</f>
        <v>0</v>
      </c>
      <c r="CL42" s="145">
        <f>IF(OR($M42=0,$N42=2),0,IF(VLOOKUP($H42,'How the score is generated (P)'!$B$4:$I$73,7,0)="ü",2,0))</f>
        <v>0</v>
      </c>
      <c r="CM42" s="35">
        <f>IF(VLOOKUP($H42,'How the score is generated (P)'!$B$4:$I$73,8,0)="ü",$Q42,0)</f>
        <v>0</v>
      </c>
      <c r="CN42" s="36">
        <f>IF(VLOOKUP($H42,'How the score is generated (P)'!$B$4:$I$73,8,0)="ü",$S42,0)</f>
        <v>0</v>
      </c>
      <c r="CO42" s="145">
        <f>IF(OR($M42=0,$N42=2),0,IF(VLOOKUP($H42,'How the score is generated (P)'!$B$4:$I$73,8,0)="ü",2,0))</f>
        <v>0</v>
      </c>
      <c r="CP42" s="300" t="s">
        <v>1099</v>
      </c>
    </row>
    <row r="43" spans="1:94" ht="52.5" thickBot="1" x14ac:dyDescent="0.4">
      <c r="A43" s="23"/>
      <c r="B43" s="31"/>
      <c r="C43" s="68" t="str">
        <f>Validation!$S$5</f>
        <v xml:space="preserve">Group 4. Cycling provision </v>
      </c>
      <c r="D43" s="164">
        <f>D42+1</f>
        <v>27</v>
      </c>
      <c r="E43" s="38" t="s">
        <v>43</v>
      </c>
      <c r="F43" s="168" t="s">
        <v>20</v>
      </c>
      <c r="G43" s="39" t="s">
        <v>138</v>
      </c>
      <c r="H43" s="41" t="s">
        <v>139</v>
      </c>
      <c r="I43" s="390" t="s">
        <v>896</v>
      </c>
      <c r="J43" s="41" t="s">
        <v>1011</v>
      </c>
      <c r="K43" s="41" t="s">
        <v>982</v>
      </c>
      <c r="L43" s="42" t="s">
        <v>981</v>
      </c>
      <c r="M43" s="170">
        <f>IF(Project!$B$27="Off-Street",0,1)</f>
        <v>1</v>
      </c>
      <c r="N43" s="425">
        <f t="shared" si="14"/>
        <v>0</v>
      </c>
      <c r="O43" s="237"/>
      <c r="P43" s="144"/>
      <c r="Q43" s="441">
        <f>IF(OR($M43=0,$O43="N/A"),"NA",VLOOKUP($O43,Validation!$D$2:$E$7,2,0))</f>
        <v>0</v>
      </c>
      <c r="R43" s="129">
        <f t="shared" si="15"/>
        <v>2</v>
      </c>
      <c r="S43" s="441">
        <f>IF(OR($M43=0,$P43="N/A"),"NA",VLOOKUP($P43,Validation!$D$2:$E$7,2,0))</f>
        <v>0</v>
      </c>
      <c r="T43" s="34">
        <f t="shared" si="16"/>
        <v>2</v>
      </c>
      <c r="U43" s="35">
        <f>IF(VLOOKUP($H43,'How the score is generated'!$B$4:$I$73,2,0)="ü",$Q43,0)</f>
        <v>0</v>
      </c>
      <c r="V43" s="36">
        <f>IF(VLOOKUP($H43,'How the score is generated'!$B$4:$I$73,2,0)="ü",$S43,0)</f>
        <v>0</v>
      </c>
      <c r="W43" s="145">
        <f>IF(OR($M43=0,$N43=2),0,IF(VLOOKUP($H43,'How the score is generated'!$B$4:$I$73,2,0)="ü",2,0))</f>
        <v>0</v>
      </c>
      <c r="X43" s="35">
        <f>IF(VLOOKUP($H43,'How the score is generated'!$B$4:$I$73,3,0)="ü",$Q43,0)</f>
        <v>0</v>
      </c>
      <c r="Y43" s="36">
        <f>IF(VLOOKUP($H43,'How the score is generated'!$B$4:$I$73,3,0)="ü",$S43,0)</f>
        <v>0</v>
      </c>
      <c r="Z43" s="145">
        <f>IF(OR($M43=0,$N43=2),0,IF(VLOOKUP($H43,'How the score is generated'!$B$4:$I$73,3,0)="ü",2,0))</f>
        <v>0</v>
      </c>
      <c r="AA43" s="35">
        <f>IF(VLOOKUP($H43,'How the score is generated'!$B$4:$I$73,4,0)="ü",$Q43,0)</f>
        <v>0</v>
      </c>
      <c r="AB43" s="36">
        <f>IF(VLOOKUP($H43,'How the score is generated'!$B$4:$I$73,4,0)="ü",$S43,0)</f>
        <v>0</v>
      </c>
      <c r="AC43" s="145">
        <f>IF(OR($M43=0,$N43=2),0,IF(VLOOKUP($H43,'How the score is generated'!$B$4:$I$73,4,0)="ü",2,0))</f>
        <v>2</v>
      </c>
      <c r="AD43" s="35">
        <f>IF(VLOOKUP($H43,'How the score is generated'!$B$4:$I$73,5,0)="ü",$Q43,0)</f>
        <v>0</v>
      </c>
      <c r="AE43" s="36">
        <f>IF(VLOOKUP($H43,'How the score is generated'!$B$4:$I$73,5,0)="ü",$S43,0)</f>
        <v>0</v>
      </c>
      <c r="AF43" s="145">
        <f>IF(OR($M43=0,$N43=2),0,IF(VLOOKUP($H43,'How the score is generated'!$B$4:$I$73,5,0)="ü",2,0))</f>
        <v>0</v>
      </c>
      <c r="AG43" s="35">
        <f>IF(VLOOKUP($H43,'How the score is generated'!$B$4:$I$73,6,0)="ü",$Q43,0)</f>
        <v>0</v>
      </c>
      <c r="AH43" s="36">
        <f>IF(VLOOKUP($H43,'How the score is generated'!$B$4:$I$73,6,0)="ü",$S43,0)</f>
        <v>0</v>
      </c>
      <c r="AI43" s="145">
        <f>IF(OR($M43=0,$N43=2),0,IF(VLOOKUP($H43,'How the score is generated'!$B$4:$I$73,6,0)="ü",2,0))</f>
        <v>0</v>
      </c>
      <c r="AJ43" s="35">
        <f>IF(VLOOKUP($H43,'How the score is generated'!$B$4:$I$73,7,0)="ü",$Q43,0)</f>
        <v>0</v>
      </c>
      <c r="AK43" s="36">
        <f>IF(VLOOKUP($H43,'How the score is generated'!$B$4:$I$73,7,0)="ü",$S43,0)</f>
        <v>0</v>
      </c>
      <c r="AL43" s="145">
        <f>IF(OR($M43=0,$N43=2),0,IF(VLOOKUP($H43,'How the score is generated'!$B$4:$I$73,7,0)="ü",2,0))</f>
        <v>0</v>
      </c>
      <c r="AM43" s="35">
        <f>IF(VLOOKUP($H43,'How the score is generated'!$B$4:$I$73,8,0)="ü",$Q43,0)</f>
        <v>0</v>
      </c>
      <c r="AN43" s="36">
        <f>IF(VLOOKUP($H43,'How the score is generated'!$B$4:$I$73,8,0)="ü",$S43,0)</f>
        <v>0</v>
      </c>
      <c r="AO43" s="145">
        <f>IF(OR($M43=0,$N43=2),0,IF(VLOOKUP($H43,'How the score is generated'!$B$4:$I$73,8,0)="ü",2,0))</f>
        <v>0</v>
      </c>
      <c r="AP43" s="23"/>
      <c r="AQ43" s="404" t="s">
        <v>1111</v>
      </c>
      <c r="AR43" s="23"/>
      <c r="AS43" s="146"/>
      <c r="AW43" s="34"/>
      <c r="AX43" s="34" t="str">
        <f t="shared" si="17"/>
        <v/>
      </c>
      <c r="AY43" s="34" t="str">
        <f t="shared" si="18"/>
        <v/>
      </c>
      <c r="AZ43" s="34" t="str">
        <f t="shared" si="19"/>
        <v/>
      </c>
      <c r="BA43" s="34" t="str">
        <f t="shared" si="20"/>
        <v>27. Ability to join/leave route safely and easily</v>
      </c>
      <c r="BB43" s="35">
        <f>IF(VLOOKUP($H43,'How the score is generated (H)'!$B$4:$H$73,2,0)="ü",$Q43,0)</f>
        <v>0</v>
      </c>
      <c r="BC43" s="36">
        <f>IF(VLOOKUP($H43,'How the score is generated (H)'!$B$4:$H$73,2,0)="ü",$S43,0)</f>
        <v>0</v>
      </c>
      <c r="BD43" s="145">
        <f>IF(OR($M43=0,$N43=2),0,IF(VLOOKUP($H43,'How the score is generated (H)'!$B$4:$H$73,2,0)="ü",2,0))</f>
        <v>0</v>
      </c>
      <c r="BE43" s="35">
        <f>IF(VLOOKUP($H43,'How the score is generated (H)'!$B$4:$H$73,3,0)="ü",$Q43,0)</f>
        <v>0</v>
      </c>
      <c r="BF43" s="36">
        <f>IF(VLOOKUP($H43,'How the score is generated (H)'!$B$4:$H$73,3,0)="ü",$S43,0)</f>
        <v>0</v>
      </c>
      <c r="BG43" s="145">
        <f>IF(OR($M43=0,$N43=2),0,IF(VLOOKUP($H43,'How the score is generated (H)'!$B$4:$H$73,3,0)="ü",2,0))</f>
        <v>0</v>
      </c>
      <c r="BH43" s="35">
        <f>IF(VLOOKUP($H43,'How the score is generated (H)'!$B$4:$H$73,4,0)="ü",$Q43,0)</f>
        <v>0</v>
      </c>
      <c r="BI43" s="36">
        <f>IF(VLOOKUP($H43,'How the score is generated (H)'!$B$4:$H$73,4,0)="ü",$S43,0)</f>
        <v>0</v>
      </c>
      <c r="BJ43" s="145">
        <f>IF(OR($M43=0,$N43=2),0,IF(VLOOKUP($H43,'How the score is generated (H)'!$B$4:$H$73,4,0)="ü",2,0))</f>
        <v>2</v>
      </c>
      <c r="BK43" s="35">
        <f>IF(VLOOKUP($H43,'How the score is generated (H)'!$B$4:$H$73,5,0)="ü",$Q43,0)</f>
        <v>0</v>
      </c>
      <c r="BL43" s="36">
        <f>IF(VLOOKUP($H43,'How the score is generated (H)'!$B$4:$H$73,5,0)="ü",$S43,0)</f>
        <v>0</v>
      </c>
      <c r="BM43" s="145">
        <f>IF(OR($M43=0,$N43=2),0,IF(VLOOKUP($H43,'How the score is generated (H)'!$B$4:$H$73,5,0)="ü",2,0))</f>
        <v>0</v>
      </c>
      <c r="BN43" s="35">
        <f>IF(VLOOKUP($H43,'How the score is generated (H)'!$B$4:$H$73,6,0)="ü",$Q43,0)</f>
        <v>0</v>
      </c>
      <c r="BO43" s="36">
        <f>IF(VLOOKUP($H43,'How the score is generated (H)'!$B$4:$H$73,6,0)="ü",$S43,0)</f>
        <v>0</v>
      </c>
      <c r="BP43" s="145">
        <f>IF(OR($M43=0,$N43=2),0,IF(VLOOKUP($H43,'How the score is generated (H)'!$B$4:$H$73,6,0)="ü",2,0))</f>
        <v>0</v>
      </c>
      <c r="BQ43" s="35">
        <f>IF(VLOOKUP($H43,'How the score is generated (H)'!$B$4:$H$73,7,0)="ü",$Q43,0)</f>
        <v>0</v>
      </c>
      <c r="BR43" s="36">
        <f>IF(VLOOKUP($H43,'How the score is generated (H)'!$B$4:$H$73,7,0)="ü",$S43,0)</f>
        <v>0</v>
      </c>
      <c r="BS43" s="145">
        <f>IF(OR($M43=0,$N43=2),0,IF(VLOOKUP($H43,'How the score is generated (H)'!$B$4:$H$73,7,0)="ü",2,0))</f>
        <v>0</v>
      </c>
      <c r="BT43" s="23"/>
      <c r="BU43" s="35">
        <f>IF(VLOOKUP($H43,'How the score is generated (P)'!$B$4:$I$73,2,0)="ü",$Q43,0)</f>
        <v>0</v>
      </c>
      <c r="BV43" s="36">
        <f>IF(VLOOKUP($H43,'How the score is generated (P)'!$B$4:$I$73,2,0)="ü",$S43,0)</f>
        <v>0</v>
      </c>
      <c r="BW43" s="145">
        <f>IF(OR($M43=0,$N43=2),0,IF(VLOOKUP($H43,'How the score is generated (P)'!$B$4:$I$73,2,0)="ü",2,0))</f>
        <v>0</v>
      </c>
      <c r="BX43" s="35">
        <f>IF(VLOOKUP($H43,'How the score is generated (P)'!$B$4:$I$73,3,0)="ü",$Q43,0)</f>
        <v>0</v>
      </c>
      <c r="BY43" s="36">
        <f>IF(VLOOKUP($H43,'How the score is generated (P)'!$B$4:$I$73,3,0)="ü",$S43,0)</f>
        <v>0</v>
      </c>
      <c r="BZ43" s="145">
        <f>IF(OR($M43=0,$N43=2),0,IF(VLOOKUP($H43,'How the score is generated (P)'!$B$4:$I$73,3,0)="ü",2,0))</f>
        <v>0</v>
      </c>
      <c r="CA43" s="35">
        <f>IF(VLOOKUP($H43,'How the score is generated (P)'!$B$4:$I$73,4,0)="ü",$Q43,0)</f>
        <v>0</v>
      </c>
      <c r="CB43" s="36">
        <f>IF(VLOOKUP($H43,'How the score is generated (P)'!$B$4:$I$73,4,0)="ü",$S43,0)</f>
        <v>0</v>
      </c>
      <c r="CC43" s="145">
        <f>IF(OR($M43=0,$N43=2),0,IF(VLOOKUP($H43,'How the score is generated (P)'!$B$4:$I$73,4,0)="ü",2,0))</f>
        <v>0</v>
      </c>
      <c r="CD43" s="35">
        <f>IF(VLOOKUP($H43,'How the score is generated (P)'!$B$4:$I$73,5,0)="ü",$Q43,0)</f>
        <v>0</v>
      </c>
      <c r="CE43" s="36">
        <f>IF(VLOOKUP($H43,'How the score is generated (P)'!$B$4:$I$73,5,0)="ü",$S43,0)</f>
        <v>0</v>
      </c>
      <c r="CF43" s="145">
        <f>IF(OR($M43=0,$N43=2),0,IF(VLOOKUP($H43,'How the score is generated (P)'!$B$4:$I$73,5,0)="ü",2,0))</f>
        <v>0</v>
      </c>
      <c r="CG43" s="35">
        <f>IF(VLOOKUP($H43,'How the score is generated (P)'!$B$4:$I$73,6,0)="ü",$Q43,0)</f>
        <v>0</v>
      </c>
      <c r="CH43" s="36">
        <f>IF(VLOOKUP($H43,'How the score is generated (P)'!$B$4:$I$73,6,0)="ü",$S43,0)</f>
        <v>0</v>
      </c>
      <c r="CI43" s="145">
        <f>IF(OR($M43=0,$N43=2),0,IF(VLOOKUP($H43,'How the score is generated (P)'!$B$4:$I$73,6,0)="ü",2,0))</f>
        <v>0</v>
      </c>
      <c r="CJ43" s="35">
        <f>IF(VLOOKUP($H43,'How the score is generated (P)'!$B$4:$I$73,7,0)="ü",$Q43,0)</f>
        <v>0</v>
      </c>
      <c r="CK43" s="36">
        <f>IF(VLOOKUP($H43,'How the score is generated (P)'!$B$4:$I$73,7,0)="ü",$S43,0)</f>
        <v>0</v>
      </c>
      <c r="CL43" s="145">
        <f>IF(OR($M43=0,$N43=2),0,IF(VLOOKUP($H43,'How the score is generated (P)'!$B$4:$I$73,7,0)="ü",2,0))</f>
        <v>0</v>
      </c>
      <c r="CM43" s="35">
        <f>IF(VLOOKUP($H43,'How the score is generated (P)'!$B$4:$I$73,8,0)="ü",$Q43,0)</f>
        <v>0</v>
      </c>
      <c r="CN43" s="36">
        <f>IF(VLOOKUP($H43,'How the score is generated (P)'!$B$4:$I$73,8,0)="ü",$S43,0)</f>
        <v>0</v>
      </c>
      <c r="CO43" s="145">
        <f>IF(OR($M43=0,$N43=2),0,IF(VLOOKUP($H43,'How the score is generated (P)'!$B$4:$I$73,8,0)="ü",2,0))</f>
        <v>0</v>
      </c>
      <c r="CP43" s="300" t="s">
        <v>1110</v>
      </c>
    </row>
    <row r="44" spans="1:94" ht="64" customHeight="1" thickBot="1" x14ac:dyDescent="0.4">
      <c r="A44" s="23"/>
      <c r="B44" s="31"/>
      <c r="C44" s="68" t="str">
        <f>Validation!$S$5</f>
        <v xml:space="preserve">Group 4. Cycling provision </v>
      </c>
      <c r="D44" s="164">
        <f>D43+1</f>
        <v>28</v>
      </c>
      <c r="E44" s="38" t="s">
        <v>43</v>
      </c>
      <c r="F44" s="168" t="s">
        <v>20</v>
      </c>
      <c r="G44" s="39" t="s">
        <v>1076</v>
      </c>
      <c r="H44" s="41" t="s">
        <v>1083</v>
      </c>
      <c r="I44" s="40" t="s">
        <v>1087</v>
      </c>
      <c r="J44" s="41" t="s">
        <v>1078</v>
      </c>
      <c r="K44" s="41" t="s">
        <v>1079</v>
      </c>
      <c r="L44" s="42" t="s">
        <v>1080</v>
      </c>
      <c r="M44" s="170">
        <f>IF(Project!$B$27="Off-Street",0,1)</f>
        <v>1</v>
      </c>
      <c r="N44" s="425">
        <f t="shared" si="14"/>
        <v>0</v>
      </c>
      <c r="O44" s="237"/>
      <c r="P44" s="144"/>
      <c r="Q44" s="441">
        <f>IF(OR($M44=0,$O44="N/A"),"NA",VLOOKUP($O44,Validation!$D$2:$E$7,2,0))</f>
        <v>0</v>
      </c>
      <c r="R44" s="129">
        <f t="shared" si="15"/>
        <v>2</v>
      </c>
      <c r="S44" s="441">
        <f>IF(OR($M44=0,$P44="N/A"),"NA",VLOOKUP($P44,Validation!$D$2:$E$7,2,0))</f>
        <v>0</v>
      </c>
      <c r="T44" s="34">
        <f t="shared" si="16"/>
        <v>2</v>
      </c>
      <c r="U44" s="35">
        <f>IF(VLOOKUP($H44,'How the score is generated'!$B$4:$I$73,2,0)="ü",$Q44,0)</f>
        <v>0</v>
      </c>
      <c r="V44" s="36">
        <f>IF(VLOOKUP($H44,'How the score is generated'!$B$4:$I$73,2,0)="ü",$S44,0)</f>
        <v>0</v>
      </c>
      <c r="W44" s="145">
        <f>IF(OR($M44=0,$N44=2),0,IF(VLOOKUP($H44,'How the score is generated'!$B$4:$I$73,2,0)="ü",2,0))</f>
        <v>0</v>
      </c>
      <c r="X44" s="35">
        <f>IF(VLOOKUP($H44,'How the score is generated'!$B$4:$I$73,3,0)="ü",$Q44,0)</f>
        <v>0</v>
      </c>
      <c r="Y44" s="36">
        <f>IF(VLOOKUP($H44,'How the score is generated'!$B$4:$I$73,3,0)="ü",$S44,0)</f>
        <v>0</v>
      </c>
      <c r="Z44" s="145">
        <f>IF(OR($M44=0,$N44=2),0,IF(VLOOKUP($H44,'How the score is generated'!$B$4:$I$73,3,0)="ü",2,0))</f>
        <v>0</v>
      </c>
      <c r="AA44" s="35">
        <f>IF(VLOOKUP($H44,'How the score is generated'!$B$4:$I$73,4,0)="ü",$Q44,0)</f>
        <v>0</v>
      </c>
      <c r="AB44" s="36">
        <f>IF(VLOOKUP($H44,'How the score is generated'!$B$4:$I$73,4,0)="ü",$S44,0)</f>
        <v>0</v>
      </c>
      <c r="AC44" s="145">
        <f>IF(OR($M44=0,$N44=2),0,IF(VLOOKUP($H44,'How the score is generated'!$B$4:$I$73,4,0)="ü",2,0))</f>
        <v>2</v>
      </c>
      <c r="AD44" s="35">
        <f>IF(VLOOKUP($H44,'How the score is generated'!$B$4:$I$73,5,0)="ü",$Q44,0)</f>
        <v>0</v>
      </c>
      <c r="AE44" s="36">
        <f>IF(VLOOKUP($H44,'How the score is generated'!$B$4:$I$73,5,0)="ü",$S44,0)</f>
        <v>0</v>
      </c>
      <c r="AF44" s="145">
        <f>IF(OR($M44=0,$N44=2),0,IF(VLOOKUP($H44,'How the score is generated'!$B$4:$I$73,5,0)="ü",2,0))</f>
        <v>0</v>
      </c>
      <c r="AG44" s="35">
        <f>IF(VLOOKUP($H44,'How the score is generated'!$B$4:$I$73,6,0)="ü",$Q44,0)</f>
        <v>0</v>
      </c>
      <c r="AH44" s="36">
        <f>IF(VLOOKUP($H44,'How the score is generated'!$B$4:$I$73,6,0)="ü",$S44,0)</f>
        <v>0</v>
      </c>
      <c r="AI44" s="145">
        <f>IF(OR($M44=0,$N44=2),0,IF(VLOOKUP($H44,'How the score is generated'!$B$4:$I$73,6,0)="ü",2,0))</f>
        <v>0</v>
      </c>
      <c r="AJ44" s="35">
        <f>IF(VLOOKUP($H44,'How the score is generated'!$B$4:$I$73,7,0)="ü",$Q44,0)</f>
        <v>0</v>
      </c>
      <c r="AK44" s="36">
        <f>IF(VLOOKUP($H44,'How the score is generated'!$B$4:$I$73,7,0)="ü",$S44,0)</f>
        <v>0</v>
      </c>
      <c r="AL44" s="145">
        <f>IF(OR($M44=0,$N44=2),0,IF(VLOOKUP($H44,'How the score is generated'!$B$4:$I$73,7,0)="ü",2,0))</f>
        <v>0</v>
      </c>
      <c r="AM44" s="35">
        <f>IF(VLOOKUP($H44,'How the score is generated'!$B$4:$I$73,8,0)="ü",$Q44,0)</f>
        <v>0</v>
      </c>
      <c r="AN44" s="36">
        <f>IF(VLOOKUP($H44,'How the score is generated'!$B$4:$I$73,8,0)="ü",$S44,0)</f>
        <v>0</v>
      </c>
      <c r="AO44" s="145">
        <f>IF(OR($M44=0,$N44=2),0,IF(VLOOKUP($H44,'How the score is generated'!$B$4:$I$73,8,0)="ü",2,0))</f>
        <v>0</v>
      </c>
      <c r="AP44" s="23"/>
      <c r="AQ44" s="404" t="s">
        <v>1077</v>
      </c>
      <c r="AR44" s="23"/>
      <c r="AS44" s="146"/>
      <c r="AW44" s="34"/>
      <c r="AX44" s="34" t="str">
        <f t="shared" si="17"/>
        <v/>
      </c>
      <c r="AY44" s="34" t="str">
        <f t="shared" si="18"/>
        <v/>
      </c>
      <c r="AZ44" s="34" t="str">
        <f t="shared" si="19"/>
        <v/>
      </c>
      <c r="BA44" s="34" t="str">
        <f t="shared" si="20"/>
        <v>28. Surface condition and general maintenance</v>
      </c>
      <c r="BB44" s="35">
        <f>IF(VLOOKUP($H44,'How the score is generated (H)'!$B$4:$H$73,2,0)="ü",$Q44,0)</f>
        <v>0</v>
      </c>
      <c r="BC44" s="36">
        <f>IF(VLOOKUP($H44,'How the score is generated (H)'!$B$4:$H$73,2,0)="ü",$S44,0)</f>
        <v>0</v>
      </c>
      <c r="BD44" s="145">
        <f>IF(OR($M44=0,$N44=2),0,IF(VLOOKUP($H44,'How the score is generated (H)'!$B$4:$H$73,2,0)="ü",2,0))</f>
        <v>0</v>
      </c>
      <c r="BE44" s="35">
        <f>IF(VLOOKUP($H44,'How the score is generated (H)'!$B$4:$H$73,3,0)="ü",$Q44,0)</f>
        <v>0</v>
      </c>
      <c r="BF44" s="36">
        <f>IF(VLOOKUP($H44,'How the score is generated (H)'!$B$4:$H$73,3,0)="ü",$S44,0)</f>
        <v>0</v>
      </c>
      <c r="BG44" s="145">
        <f>IF(OR($M44=0,$N44=2),0,IF(VLOOKUP($H44,'How the score is generated (H)'!$B$4:$H$73,3,0)="ü",2,0))</f>
        <v>0</v>
      </c>
      <c r="BH44" s="35">
        <f>IF(VLOOKUP($H44,'How the score is generated (H)'!$B$4:$H$73,4,0)="ü",$Q44,0)</f>
        <v>0</v>
      </c>
      <c r="BI44" s="36">
        <f>IF(VLOOKUP($H44,'How the score is generated (H)'!$B$4:$H$73,4,0)="ü",$S44,0)</f>
        <v>0</v>
      </c>
      <c r="BJ44" s="145">
        <f>IF(OR($M44=0,$N44=2),0,IF(VLOOKUP($H44,'How the score is generated (H)'!$B$4:$H$73,4,0)="ü",2,0))</f>
        <v>2</v>
      </c>
      <c r="BK44" s="35">
        <f>IF(VLOOKUP($H44,'How the score is generated (H)'!$B$4:$H$73,5,0)="ü",$Q44,0)</f>
        <v>0</v>
      </c>
      <c r="BL44" s="36">
        <f>IF(VLOOKUP($H44,'How the score is generated (H)'!$B$4:$H$73,5,0)="ü",$S44,0)</f>
        <v>0</v>
      </c>
      <c r="BM44" s="145">
        <f>IF(OR($M44=0,$N44=2),0,IF(VLOOKUP($H44,'How the score is generated (H)'!$B$4:$H$73,5,0)="ü",2,0))</f>
        <v>0</v>
      </c>
      <c r="BN44" s="35">
        <f>IF(VLOOKUP($H44,'How the score is generated (H)'!$B$4:$H$73,6,0)="ü",$Q44,0)</f>
        <v>0</v>
      </c>
      <c r="BO44" s="36">
        <f>IF(VLOOKUP($H44,'How the score is generated (H)'!$B$4:$H$73,6,0)="ü",$S44,0)</f>
        <v>0</v>
      </c>
      <c r="BP44" s="145">
        <f>IF(OR($M44=0,$N44=2),0,IF(VLOOKUP($H44,'How the score is generated (H)'!$B$4:$H$73,6,0)="ü",2,0))</f>
        <v>0</v>
      </c>
      <c r="BQ44" s="35">
        <f>IF(VLOOKUP($H44,'How the score is generated (H)'!$B$4:$H$73,7,0)="ü",$Q44,0)</f>
        <v>0</v>
      </c>
      <c r="BR44" s="36">
        <f>IF(VLOOKUP($H44,'How the score is generated (H)'!$B$4:$H$73,7,0)="ü",$S44,0)</f>
        <v>0</v>
      </c>
      <c r="BS44" s="145">
        <f>IF(OR($M44=0,$N44=2),0,IF(VLOOKUP($H44,'How the score is generated (H)'!$B$4:$H$73,7,0)="ü",2,0))</f>
        <v>0</v>
      </c>
      <c r="BT44" s="23"/>
      <c r="BU44" s="35">
        <f>IF(VLOOKUP($H44,'How the score is generated (P)'!$B$4:$I$73,2,0)="ü",$Q44,0)</f>
        <v>0</v>
      </c>
      <c r="BV44" s="36">
        <f>IF(VLOOKUP($H44,'How the score is generated (P)'!$B$4:$I$73,2,0)="ü",$S44,0)</f>
        <v>0</v>
      </c>
      <c r="BW44" s="145">
        <f>IF(OR($M44=0,$N44=2),0,IF(VLOOKUP($H44,'How the score is generated (P)'!$B$4:$I$73,2,0)="ü",2,0))</f>
        <v>0</v>
      </c>
      <c r="BX44" s="35">
        <f>IF(VLOOKUP($H44,'How the score is generated (P)'!$B$4:$I$73,3,0)="ü",$Q44,0)</f>
        <v>0</v>
      </c>
      <c r="BY44" s="36">
        <f>IF(VLOOKUP($H44,'How the score is generated (P)'!$B$4:$I$73,3,0)="ü",$S44,0)</f>
        <v>0</v>
      </c>
      <c r="BZ44" s="145">
        <f>IF(OR($M44=0,$N44=2),0,IF(VLOOKUP($H44,'How the score is generated (P)'!$B$4:$I$73,3,0)="ü",2,0))</f>
        <v>0</v>
      </c>
      <c r="CA44" s="35">
        <f>IF(VLOOKUP($H44,'How the score is generated (P)'!$B$4:$I$73,4,0)="ü",$Q44,0)</f>
        <v>0</v>
      </c>
      <c r="CB44" s="36">
        <f>IF(VLOOKUP($H44,'How the score is generated (P)'!$B$4:$I$73,4,0)="ü",$S44,0)</f>
        <v>0</v>
      </c>
      <c r="CC44" s="145">
        <f>IF(OR($M44=0,$N44=2),0,IF(VLOOKUP($H44,'How the score is generated (P)'!$B$4:$I$73,4,0)="ü",2,0))</f>
        <v>0</v>
      </c>
      <c r="CD44" s="35">
        <f>IF(VLOOKUP($H44,'How the score is generated (P)'!$B$4:$I$73,5,0)="ü",$Q44,0)</f>
        <v>0</v>
      </c>
      <c r="CE44" s="36">
        <f>IF(VLOOKUP($H44,'How the score is generated (P)'!$B$4:$I$73,5,0)="ü",$S44,0)</f>
        <v>0</v>
      </c>
      <c r="CF44" s="145">
        <f>IF(OR($M44=0,$N44=2),0,IF(VLOOKUP($H44,'How the score is generated (P)'!$B$4:$I$73,5,0)="ü",2,0))</f>
        <v>0</v>
      </c>
      <c r="CG44" s="35">
        <f>IF(VLOOKUP($H44,'How the score is generated (P)'!$B$4:$I$73,6,0)="ü",$Q44,0)</f>
        <v>0</v>
      </c>
      <c r="CH44" s="36">
        <f>IF(VLOOKUP($H44,'How the score is generated (P)'!$B$4:$I$73,6,0)="ü",$S44,0)</f>
        <v>0</v>
      </c>
      <c r="CI44" s="145">
        <f>IF(OR($M44=0,$N44=2),0,IF(VLOOKUP($H44,'How the score is generated (P)'!$B$4:$I$73,6,0)="ü",2,0))</f>
        <v>0</v>
      </c>
      <c r="CJ44" s="35">
        <f>IF(VLOOKUP($H44,'How the score is generated (P)'!$B$4:$I$73,7,0)="ü",$Q44,0)</f>
        <v>0</v>
      </c>
      <c r="CK44" s="36">
        <f>IF(VLOOKUP($H44,'How the score is generated (P)'!$B$4:$I$73,7,0)="ü",$S44,0)</f>
        <v>0</v>
      </c>
      <c r="CL44" s="145">
        <f>IF(OR($M44=0,$N44=2),0,IF(VLOOKUP($H44,'How the score is generated (P)'!$B$4:$I$73,7,0)="ü",2,0))</f>
        <v>0</v>
      </c>
      <c r="CM44" s="35">
        <f>IF(VLOOKUP($H44,'How the score is generated (P)'!$B$4:$I$73,8,0)="ü",$Q44,0)</f>
        <v>0</v>
      </c>
      <c r="CN44" s="36">
        <f>IF(VLOOKUP($H44,'How the score is generated (P)'!$B$4:$I$73,8,0)="ü",$S44,0)</f>
        <v>0</v>
      </c>
      <c r="CO44" s="145">
        <f>IF(OR($M44=0,$N44=2),0,IF(VLOOKUP($H44,'How the score is generated (P)'!$B$4:$I$73,8,0)="ü",2,0))</f>
        <v>0</v>
      </c>
      <c r="CP44" s="300" t="s">
        <v>1075</v>
      </c>
    </row>
    <row r="45" spans="1:94" ht="59.5" customHeight="1" thickBot="1" x14ac:dyDescent="0.4">
      <c r="A45" s="23"/>
      <c r="B45" s="31"/>
      <c r="C45" s="68" t="str">
        <f>Validation!$S$5</f>
        <v xml:space="preserve">Group 4. Cycling provision </v>
      </c>
      <c r="D45" s="164">
        <f>D44+1</f>
        <v>29</v>
      </c>
      <c r="E45" s="38" t="s">
        <v>43</v>
      </c>
      <c r="F45" s="168" t="s">
        <v>20</v>
      </c>
      <c r="G45" s="177" t="s">
        <v>1081</v>
      </c>
      <c r="H45" s="178" t="s">
        <v>1082</v>
      </c>
      <c r="I45" s="438" t="s">
        <v>896</v>
      </c>
      <c r="J45" s="178" t="s">
        <v>1084</v>
      </c>
      <c r="K45" s="178" t="s">
        <v>1085</v>
      </c>
      <c r="L45" s="180" t="s">
        <v>1086</v>
      </c>
      <c r="M45" s="170">
        <f>IF(Project!$B$27="Off-Street",0,1)</f>
        <v>1</v>
      </c>
      <c r="N45" s="425">
        <f t="shared" si="14"/>
        <v>0</v>
      </c>
      <c r="O45" s="237"/>
      <c r="P45" s="144"/>
      <c r="Q45" s="441">
        <f>IF(OR($M45=0,$O45="N/A"),"NA",VLOOKUP($O45,Validation!$D$2:$E$7,2,0))</f>
        <v>0</v>
      </c>
      <c r="R45" s="129">
        <f t="shared" si="15"/>
        <v>2</v>
      </c>
      <c r="S45" s="441">
        <f>IF(OR($M45=0,$P45="N/A"),"NA",VLOOKUP($P45,Validation!$D$2:$E$7,2,0))</f>
        <v>0</v>
      </c>
      <c r="T45" s="34">
        <f t="shared" si="16"/>
        <v>2</v>
      </c>
      <c r="U45" s="35">
        <f>IF(VLOOKUP($H45,'How the score is generated'!$B$4:$I$73,2,0)="ü",$Q45,0)</f>
        <v>0</v>
      </c>
      <c r="V45" s="36">
        <f>IF(VLOOKUP($H45,'How the score is generated'!$B$4:$I$73,2,0)="ü",$S45,0)</f>
        <v>0</v>
      </c>
      <c r="W45" s="145">
        <f>IF(OR($M45=0,$N45=2),0,IF(VLOOKUP($H45,'How the score is generated'!$B$4:$I$73,2,0)="ü",2,0))</f>
        <v>0</v>
      </c>
      <c r="X45" s="35">
        <f>IF(VLOOKUP($H45,'How the score is generated'!$B$4:$I$73,3,0)="ü",$Q45,0)</f>
        <v>0</v>
      </c>
      <c r="Y45" s="36">
        <f>IF(VLOOKUP($H45,'How the score is generated'!$B$4:$I$73,3,0)="ü",$S45,0)</f>
        <v>0</v>
      </c>
      <c r="Z45" s="145">
        <f>IF(OR($M45=0,$N45=2),0,IF(VLOOKUP($H45,'How the score is generated'!$B$4:$I$73,3,0)="ü",2,0))</f>
        <v>0</v>
      </c>
      <c r="AA45" s="35">
        <f>IF(VLOOKUP($H45,'How the score is generated'!$B$4:$I$73,4,0)="ü",$Q45,0)</f>
        <v>0</v>
      </c>
      <c r="AB45" s="36">
        <f>IF(VLOOKUP($H45,'How the score is generated'!$B$4:$I$73,4,0)="ü",$S45,0)</f>
        <v>0</v>
      </c>
      <c r="AC45" s="145">
        <f>IF(OR($M45=0,$N45=2),0,IF(VLOOKUP($H45,'How the score is generated'!$B$4:$I$73,4,0)="ü",2,0))</f>
        <v>2</v>
      </c>
      <c r="AD45" s="35">
        <f>IF(VLOOKUP($H45,'How the score is generated'!$B$4:$I$73,5,0)="ü",$Q45,0)</f>
        <v>0</v>
      </c>
      <c r="AE45" s="36">
        <f>IF(VLOOKUP($H45,'How the score is generated'!$B$4:$I$73,5,0)="ü",$S45,0)</f>
        <v>0</v>
      </c>
      <c r="AF45" s="145">
        <f>IF(OR($M45=0,$N45=2),0,IF(VLOOKUP($H45,'How the score is generated'!$B$4:$I$73,5,0)="ü",2,0))</f>
        <v>0</v>
      </c>
      <c r="AG45" s="35">
        <f>IF(VLOOKUP($H45,'How the score is generated'!$B$4:$I$73,6,0)="ü",$Q45,0)</f>
        <v>0</v>
      </c>
      <c r="AH45" s="36">
        <f>IF(VLOOKUP($H45,'How the score is generated'!$B$4:$I$73,6,0)="ü",$S45,0)</f>
        <v>0</v>
      </c>
      <c r="AI45" s="145">
        <f>IF(OR($M45=0,$N45=2),0,IF(VLOOKUP($H45,'How the score is generated'!$B$4:$I$73,6,0)="ü",2,0))</f>
        <v>0</v>
      </c>
      <c r="AJ45" s="35">
        <f>IF(VLOOKUP($H45,'How the score is generated'!$B$4:$I$73,7,0)="ü",$Q45,0)</f>
        <v>0</v>
      </c>
      <c r="AK45" s="36">
        <f>IF(VLOOKUP($H45,'How the score is generated'!$B$4:$I$73,7,0)="ü",$S45,0)</f>
        <v>0</v>
      </c>
      <c r="AL45" s="145">
        <f>IF(OR($M45=0,$N45=2),0,IF(VLOOKUP($H45,'How the score is generated'!$B$4:$I$73,7,0)="ü",2,0))</f>
        <v>0</v>
      </c>
      <c r="AM45" s="35">
        <f>IF(VLOOKUP($H45,'How the score is generated'!$B$4:$I$73,8,0)="ü",$Q45,0)</f>
        <v>0</v>
      </c>
      <c r="AN45" s="36">
        <f>IF(VLOOKUP($H45,'How the score is generated'!$B$4:$I$73,8,0)="ü",$S45,0)</f>
        <v>0</v>
      </c>
      <c r="AO45" s="145">
        <f>IF(OR($M45=0,$N45=2),0,IF(VLOOKUP($H45,'How the score is generated'!$B$4:$I$73,8,0)="ü",2,0))</f>
        <v>0</v>
      </c>
      <c r="AP45" s="23"/>
      <c r="AQ45" s="404"/>
      <c r="AR45" s="23"/>
      <c r="AS45" s="146"/>
      <c r="AW45" s="34"/>
      <c r="AX45" s="34" t="str">
        <f t="shared" si="17"/>
        <v/>
      </c>
      <c r="AY45" s="34" t="str">
        <f t="shared" si="18"/>
        <v/>
      </c>
      <c r="AZ45" s="34" t="str">
        <f t="shared" si="19"/>
        <v/>
      </c>
      <c r="BA45" s="34" t="str">
        <f t="shared" si="20"/>
        <v>29. Surface type</v>
      </c>
      <c r="BB45" s="35">
        <f>IF(VLOOKUP($H45,'How the score is generated (H)'!$B$4:$H$73,2,0)="ü",$Q45,0)</f>
        <v>0</v>
      </c>
      <c r="BC45" s="36">
        <f>IF(VLOOKUP($H45,'How the score is generated (H)'!$B$4:$H$73,2,0)="ü",$S45,0)</f>
        <v>0</v>
      </c>
      <c r="BD45" s="145">
        <f>IF(OR($M45=0,$N45=2),0,IF(VLOOKUP($H45,'How the score is generated (H)'!$B$4:$H$73,2,0)="ü",2,0))</f>
        <v>0</v>
      </c>
      <c r="BE45" s="35">
        <f>IF(VLOOKUP($H45,'How the score is generated (H)'!$B$4:$H$73,3,0)="ü",$Q45,0)</f>
        <v>0</v>
      </c>
      <c r="BF45" s="36">
        <f>IF(VLOOKUP($H45,'How the score is generated (H)'!$B$4:$H$73,3,0)="ü",$S45,0)</f>
        <v>0</v>
      </c>
      <c r="BG45" s="145">
        <f>IF(OR($M45=0,$N45=2),0,IF(VLOOKUP($H45,'How the score is generated (H)'!$B$4:$H$73,3,0)="ü",2,0))</f>
        <v>0</v>
      </c>
      <c r="BH45" s="35">
        <f>IF(VLOOKUP($H45,'How the score is generated (H)'!$B$4:$H$73,4,0)="ü",$Q45,0)</f>
        <v>0</v>
      </c>
      <c r="BI45" s="36">
        <f>IF(VLOOKUP($H45,'How the score is generated (H)'!$B$4:$H$73,4,0)="ü",$S45,0)</f>
        <v>0</v>
      </c>
      <c r="BJ45" s="145">
        <f>IF(OR($M45=0,$N45=2),0,IF(VLOOKUP($H45,'How the score is generated (H)'!$B$4:$H$73,4,0)="ü",2,0))</f>
        <v>2</v>
      </c>
      <c r="BK45" s="35">
        <f>IF(VLOOKUP($H45,'How the score is generated (H)'!$B$4:$H$73,5,0)="ü",$Q45,0)</f>
        <v>0</v>
      </c>
      <c r="BL45" s="36">
        <f>IF(VLOOKUP($H45,'How the score is generated (H)'!$B$4:$H$73,5,0)="ü",$S45,0)</f>
        <v>0</v>
      </c>
      <c r="BM45" s="145">
        <f>IF(OR($M45=0,$N45=2),0,IF(VLOOKUP($H45,'How the score is generated (H)'!$B$4:$H$73,5,0)="ü",2,0))</f>
        <v>0</v>
      </c>
      <c r="BN45" s="35">
        <f>IF(VLOOKUP($H45,'How the score is generated (H)'!$B$4:$H$73,6,0)="ü",$Q45,0)</f>
        <v>0</v>
      </c>
      <c r="BO45" s="36">
        <f>IF(VLOOKUP($H45,'How the score is generated (H)'!$B$4:$H$73,6,0)="ü",$S45,0)</f>
        <v>0</v>
      </c>
      <c r="BP45" s="145">
        <f>IF(OR($M45=0,$N45=2),0,IF(VLOOKUP($H45,'How the score is generated (H)'!$B$4:$H$73,6,0)="ü",2,0))</f>
        <v>0</v>
      </c>
      <c r="BQ45" s="35">
        <f>IF(VLOOKUP($H45,'How the score is generated (H)'!$B$4:$H$73,7,0)="ü",$Q45,0)</f>
        <v>0</v>
      </c>
      <c r="BR45" s="36">
        <f>IF(VLOOKUP($H45,'How the score is generated (H)'!$B$4:$H$73,7,0)="ü",$S45,0)</f>
        <v>0</v>
      </c>
      <c r="BS45" s="145">
        <f>IF(OR($M45=0,$N45=2),0,IF(VLOOKUP($H45,'How the score is generated (H)'!$B$4:$H$73,7,0)="ü",2,0))</f>
        <v>0</v>
      </c>
      <c r="BT45" s="23"/>
      <c r="BU45" s="35">
        <f>IF(VLOOKUP($H45,'How the score is generated (P)'!$B$4:$I$73,2,0)="ü",$Q45,0)</f>
        <v>0</v>
      </c>
      <c r="BV45" s="36">
        <f>IF(VLOOKUP($H45,'How the score is generated (P)'!$B$4:$I$73,2,0)="ü",$S45,0)</f>
        <v>0</v>
      </c>
      <c r="BW45" s="145">
        <f>IF(OR($M45=0,$N45=2),0,IF(VLOOKUP($H45,'How the score is generated (P)'!$B$4:$I$73,2,0)="ü",2,0))</f>
        <v>0</v>
      </c>
      <c r="BX45" s="35">
        <f>IF(VLOOKUP($H45,'How the score is generated (P)'!$B$4:$I$73,3,0)="ü",$Q45,0)</f>
        <v>0</v>
      </c>
      <c r="BY45" s="36">
        <f>IF(VLOOKUP($H45,'How the score is generated (P)'!$B$4:$I$73,3,0)="ü",$S45,0)</f>
        <v>0</v>
      </c>
      <c r="BZ45" s="145">
        <f>IF(OR($M45=0,$N45=2),0,IF(VLOOKUP($H45,'How the score is generated (P)'!$B$4:$I$73,3,0)="ü",2,0))</f>
        <v>0</v>
      </c>
      <c r="CA45" s="35">
        <f>IF(VLOOKUP($H45,'How the score is generated (P)'!$B$4:$I$73,4,0)="ü",$Q45,0)</f>
        <v>0</v>
      </c>
      <c r="CB45" s="36">
        <f>IF(VLOOKUP($H45,'How the score is generated (P)'!$B$4:$I$73,4,0)="ü",$S45,0)</f>
        <v>0</v>
      </c>
      <c r="CC45" s="145">
        <f>IF(OR($M45=0,$N45=2),0,IF(VLOOKUP($H45,'How the score is generated (P)'!$B$4:$I$73,4,0)="ü",2,0))</f>
        <v>0</v>
      </c>
      <c r="CD45" s="35">
        <f>IF(VLOOKUP($H45,'How the score is generated (P)'!$B$4:$I$73,5,0)="ü",$Q45,0)</f>
        <v>0</v>
      </c>
      <c r="CE45" s="36">
        <f>IF(VLOOKUP($H45,'How the score is generated (P)'!$B$4:$I$73,5,0)="ü",$S45,0)</f>
        <v>0</v>
      </c>
      <c r="CF45" s="145">
        <f>IF(OR($M45=0,$N45=2),0,IF(VLOOKUP($H45,'How the score is generated (P)'!$B$4:$I$73,5,0)="ü",2,0))</f>
        <v>0</v>
      </c>
      <c r="CG45" s="35">
        <f>IF(VLOOKUP($H45,'How the score is generated (P)'!$B$4:$I$73,6,0)="ü",$Q45,0)</f>
        <v>0</v>
      </c>
      <c r="CH45" s="36">
        <f>IF(VLOOKUP($H45,'How the score is generated (P)'!$B$4:$I$73,6,0)="ü",$S45,0)</f>
        <v>0</v>
      </c>
      <c r="CI45" s="145">
        <f>IF(OR($M45=0,$N45=2),0,IF(VLOOKUP($H45,'How the score is generated (P)'!$B$4:$I$73,6,0)="ü",2,0))</f>
        <v>0</v>
      </c>
      <c r="CJ45" s="35">
        <f>IF(VLOOKUP($H45,'How the score is generated (P)'!$B$4:$I$73,7,0)="ü",$Q45,0)</f>
        <v>0</v>
      </c>
      <c r="CK45" s="36">
        <f>IF(VLOOKUP($H45,'How the score is generated (P)'!$B$4:$I$73,7,0)="ü",$S45,0)</f>
        <v>0</v>
      </c>
      <c r="CL45" s="145">
        <f>IF(OR($M45=0,$N45=2),0,IF(VLOOKUP($H45,'How the score is generated (P)'!$B$4:$I$73,7,0)="ü",2,0))</f>
        <v>0</v>
      </c>
      <c r="CM45" s="35">
        <f>IF(VLOOKUP($H45,'How the score is generated (P)'!$B$4:$I$73,8,0)="ü",$Q45,0)</f>
        <v>0</v>
      </c>
      <c r="CN45" s="36">
        <f>IF(VLOOKUP($H45,'How the score is generated (P)'!$B$4:$I$73,8,0)="ü",$S45,0)</f>
        <v>0</v>
      </c>
      <c r="CO45" s="145">
        <f>IF(OR($M45=0,$N45=2),0,IF(VLOOKUP($H45,'How the score is generated (P)'!$B$4:$I$73,8,0)="ü",2,0))</f>
        <v>0</v>
      </c>
      <c r="CP45" s="300" t="s">
        <v>1095</v>
      </c>
    </row>
    <row r="46" spans="1:94" ht="15" hidden="1" thickBot="1" x14ac:dyDescent="0.4">
      <c r="A46" s="23"/>
      <c r="B46" s="72"/>
      <c r="C46" s="47"/>
      <c r="D46" s="47"/>
      <c r="E46" s="47"/>
      <c r="F46" s="47"/>
      <c r="G46" s="171" t="s">
        <v>941</v>
      </c>
      <c r="H46" s="172"/>
      <c r="I46" s="172"/>
      <c r="J46" s="172"/>
      <c r="K46" s="172"/>
      <c r="L46" s="172"/>
      <c r="M46" s="48"/>
      <c r="N46" s="48"/>
      <c r="O46" s="49" t="str">
        <f>Q46&amp;"/"&amp;R46</f>
        <v>0/22</v>
      </c>
      <c r="P46" s="50" t="str">
        <f>S46&amp;"/"&amp;T46</f>
        <v>0/22</v>
      </c>
      <c r="Q46" s="51">
        <f>SUM(Q35:Q45)</f>
        <v>0</v>
      </c>
      <c r="R46" s="51">
        <f>SUM(R35:R45)</f>
        <v>22</v>
      </c>
      <c r="S46" s="51">
        <f>SUM(S35:S45)</f>
        <v>0</v>
      </c>
      <c r="T46" s="51">
        <f>SUM(T35:T45)</f>
        <v>22</v>
      </c>
      <c r="U46" s="54"/>
      <c r="V46" s="23"/>
      <c r="W46" s="23"/>
      <c r="X46" s="54"/>
      <c r="Y46" s="23"/>
      <c r="Z46" s="23"/>
      <c r="AA46" s="54"/>
      <c r="AB46" s="23"/>
      <c r="AC46" s="23"/>
      <c r="AD46" s="54"/>
      <c r="AE46" s="23"/>
      <c r="AF46" s="23"/>
      <c r="AG46" s="54"/>
      <c r="AH46" s="23"/>
      <c r="AI46" s="23"/>
      <c r="AJ46" s="54"/>
      <c r="AK46" s="23"/>
      <c r="AL46" s="23"/>
      <c r="AM46" s="54"/>
      <c r="AN46" s="23"/>
      <c r="AO46" s="23"/>
      <c r="AP46" s="23"/>
      <c r="AQ46" s="76"/>
      <c r="AR46" s="23"/>
      <c r="AS46" s="321"/>
      <c r="AU46" s="23"/>
      <c r="AV46" s="23"/>
      <c r="AW46" s="23"/>
      <c r="AX46" s="23"/>
      <c r="AY46" s="23"/>
      <c r="AZ46" s="23"/>
      <c r="BA46" s="23"/>
      <c r="BB46" s="23"/>
      <c r="BC46" s="23"/>
      <c r="BD46" s="23"/>
      <c r="BE46" s="23"/>
      <c r="BF46" s="23"/>
      <c r="BG46" s="23"/>
      <c r="BH46" s="23"/>
      <c r="BI46" s="23"/>
      <c r="BJ46" s="23"/>
      <c r="BK46" s="23"/>
      <c r="BL46" s="23"/>
      <c r="BM46" s="23"/>
      <c r="BN46" s="23"/>
      <c r="BO46" s="23"/>
      <c r="BP46" s="145">
        <f>IF(OR($M46=0,$N46=2),0,IF(VLOOKUP($H46,'How the score is generated (H)'!$B$4:$H$73,6,0)="ü",2,0))</f>
        <v>0</v>
      </c>
      <c r="BQ46" s="23"/>
      <c r="BR46" s="23"/>
      <c r="BS46" s="145">
        <f>IF(OR($M46=0,$N46=2),0,IF(VLOOKUP($H46,'How the score is generated (H)'!$B$4:$H$73,7,0)="ü",2,0))</f>
        <v>0</v>
      </c>
      <c r="BT46" s="23"/>
      <c r="BU46" s="23"/>
      <c r="BV46" s="23"/>
      <c r="BW46" s="145">
        <f>IF(OR($M46=0,$N46=2),0,IF(VLOOKUP($H46,'How the score is generated (P)'!$B$4:$I$73,2,0)="ü",2,0))</f>
        <v>0</v>
      </c>
      <c r="BX46" s="23"/>
      <c r="BY46" s="23"/>
      <c r="BZ46" s="145">
        <f>IF(OR($M46=0,$N46=2),0,IF(VLOOKUP($H46,'How the score is generated (P)'!$B$4:$I$73,3,0)="ü",2,0))</f>
        <v>0</v>
      </c>
      <c r="CA46" s="23"/>
      <c r="CB46" s="23"/>
      <c r="CC46" s="145">
        <f>IF(OR($M46=0,$N46=2),0,IF(VLOOKUP($H46,'How the score is generated (P)'!$B$4:$I$73,4,0)="ü",2,0))</f>
        <v>0</v>
      </c>
      <c r="CD46" s="23"/>
      <c r="CE46" s="23"/>
      <c r="CF46" s="145">
        <f>IF(OR($M46=0,$N46=2),0,IF(VLOOKUP($H46,'How the score is generated (P)'!$B$4:$I$73,5,0)="ü",2,0))</f>
        <v>0</v>
      </c>
      <c r="CG46" s="23"/>
      <c r="CH46" s="23"/>
      <c r="CI46" s="23"/>
      <c r="CJ46" s="23"/>
      <c r="CK46" s="23"/>
      <c r="CL46" s="23"/>
      <c r="CM46" s="23"/>
      <c r="CN46" s="23"/>
      <c r="CO46" s="23"/>
    </row>
    <row r="47" spans="1:94" ht="15" thickBot="1" x14ac:dyDescent="0.4">
      <c r="A47" s="23"/>
      <c r="B47" s="73"/>
      <c r="C47" s="47"/>
      <c r="D47" s="47"/>
      <c r="E47" s="47"/>
      <c r="F47" s="47"/>
      <c r="G47" s="74"/>
      <c r="H47" s="74"/>
      <c r="I47" s="23"/>
      <c r="J47" s="23"/>
      <c r="K47" s="23"/>
      <c r="L47" s="23"/>
      <c r="M47" s="23"/>
      <c r="N47" s="23"/>
      <c r="O47" s="23"/>
      <c r="P47" s="23"/>
      <c r="Q47" s="23"/>
      <c r="R47" s="23"/>
      <c r="S47" s="23"/>
      <c r="T47" s="23"/>
      <c r="U47" s="54"/>
      <c r="V47" s="23"/>
      <c r="W47" s="23"/>
      <c r="X47" s="54"/>
      <c r="Y47" s="23"/>
      <c r="Z47" s="23"/>
      <c r="AA47" s="54"/>
      <c r="AB47" s="23"/>
      <c r="AC47" s="23"/>
      <c r="AD47" s="54"/>
      <c r="AE47" s="23"/>
      <c r="AF47" s="23"/>
      <c r="AG47" s="54"/>
      <c r="AH47" s="23"/>
      <c r="AI47" s="23"/>
      <c r="AJ47" s="54"/>
      <c r="AK47" s="23"/>
      <c r="AL47" s="23"/>
      <c r="AM47" s="54"/>
      <c r="AN47" s="23"/>
      <c r="AO47" s="23"/>
      <c r="AP47" s="23"/>
      <c r="AQ47" s="76"/>
      <c r="AR47" s="23"/>
      <c r="AS47" s="321"/>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row>
    <row r="48" spans="1:94" ht="16" thickBot="1" x14ac:dyDescent="0.4">
      <c r="A48" s="23"/>
      <c r="B48" s="75"/>
      <c r="C48" s="63"/>
      <c r="D48" s="63"/>
      <c r="E48" s="63"/>
      <c r="F48" s="63"/>
      <c r="G48" s="522" t="s">
        <v>937</v>
      </c>
      <c r="H48" s="522"/>
      <c r="I48" s="522"/>
      <c r="J48" s="522"/>
      <c r="K48" s="522"/>
      <c r="L48" s="522"/>
      <c r="M48" s="28"/>
      <c r="N48" s="28"/>
      <c r="O48" s="28" t="s">
        <v>32</v>
      </c>
      <c r="P48" s="29" t="s">
        <v>33</v>
      </c>
      <c r="Q48" s="30"/>
      <c r="R48" s="30"/>
      <c r="S48" s="30"/>
      <c r="T48" s="30"/>
      <c r="U48" s="54"/>
      <c r="V48" s="64"/>
      <c r="W48" s="64"/>
      <c r="X48" s="54"/>
      <c r="Y48" s="64"/>
      <c r="Z48" s="64"/>
      <c r="AA48" s="54"/>
      <c r="AB48" s="64"/>
      <c r="AC48" s="64"/>
      <c r="AD48" s="54"/>
      <c r="AE48" s="64"/>
      <c r="AF48" s="64"/>
      <c r="AG48" s="54"/>
      <c r="AH48" s="64"/>
      <c r="AI48" s="64"/>
      <c r="AJ48" s="54"/>
      <c r="AK48" s="64"/>
      <c r="AL48" s="64"/>
      <c r="AM48" s="54"/>
      <c r="AN48" s="64"/>
      <c r="AO48" s="64"/>
      <c r="AP48" s="23"/>
      <c r="AQ48" s="76"/>
      <c r="AR48" s="23"/>
      <c r="AS48" s="321"/>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row>
    <row r="49" spans="1:190" s="14" customFormat="1" ht="54" customHeight="1" thickBot="1" x14ac:dyDescent="0.4">
      <c r="A49" s="23"/>
      <c r="B49" s="31"/>
      <c r="C49" s="69" t="str">
        <f>Validation!$S$6</f>
        <v xml:space="preserve">Group 5. Street environment and design </v>
      </c>
      <c r="D49" s="164">
        <f>D45+1</f>
        <v>30</v>
      </c>
      <c r="E49" s="44" t="s">
        <v>43</v>
      </c>
      <c r="F49" s="168" t="s">
        <v>43</v>
      </c>
      <c r="G49" s="39" t="s">
        <v>1118</v>
      </c>
      <c r="H49" s="41" t="s">
        <v>1119</v>
      </c>
      <c r="I49" s="390" t="s">
        <v>896</v>
      </c>
      <c r="J49" s="41" t="s">
        <v>1120</v>
      </c>
      <c r="K49" s="41" t="s">
        <v>1121</v>
      </c>
      <c r="L49" s="42" t="s">
        <v>1122</v>
      </c>
      <c r="M49" s="170">
        <f>IF(Project!$B$27="Off-Street",0,1)</f>
        <v>1</v>
      </c>
      <c r="N49" s="425">
        <f t="shared" ref="N49:N61" si="22">IF(AND(O49="N/A",P49="N/A"),2,0)</f>
        <v>0</v>
      </c>
      <c r="O49" s="144"/>
      <c r="P49" s="144"/>
      <c r="Q49" s="441">
        <f>IF(OR($M49=0,$O49="N/A"),"NA",VLOOKUP($O49,Validation!$D$2:$E$7,2,0))</f>
        <v>0</v>
      </c>
      <c r="R49" s="129">
        <f t="shared" ref="R49:R61" si="23">IF(OR($M49=0,$O49="N/A"),0,2)</f>
        <v>2</v>
      </c>
      <c r="S49" s="441">
        <f>IF(OR($M49=0,$P49="N/A"),"NA",VLOOKUP($P49,Validation!$D$2:$E$7,2,0))</f>
        <v>0</v>
      </c>
      <c r="T49" s="34">
        <f t="shared" ref="T49:T61" si="24">IF(OR($M49=0,$P49="N/A"),0,2)</f>
        <v>2</v>
      </c>
      <c r="U49" s="35">
        <f>IF(VLOOKUP($H49,'How the score is generated'!$B$4:$I$73,2,0)="ü",$Q49,0)</f>
        <v>0</v>
      </c>
      <c r="V49" s="36">
        <f>IF(VLOOKUP($H49,'How the score is generated'!$B$4:$I$73,2,0)="ü",$S49,0)</f>
        <v>0</v>
      </c>
      <c r="W49" s="145">
        <f>IF(OR($M49=0,$N49=2),0,IF(VLOOKUP($H49,'How the score is generated'!$B$4:$I$73,2,0)="ü",2,0))</f>
        <v>0</v>
      </c>
      <c r="X49" s="35">
        <f>IF(VLOOKUP($H49,'How the score is generated'!$B$4:$I$73,3,0)="ü",$Q49,0)</f>
        <v>0</v>
      </c>
      <c r="Y49" s="36">
        <f>IF(VLOOKUP($H49,'How the score is generated'!$B$4:$I$73,3,0)="ü",$S49,0)</f>
        <v>0</v>
      </c>
      <c r="Z49" s="145">
        <f>IF(OR($M49=0,$N49=2),0,IF(VLOOKUP($H49,'How the score is generated'!$B$4:$I$73,3,0)="ü",2,0))</f>
        <v>0</v>
      </c>
      <c r="AA49" s="35">
        <f>IF(VLOOKUP($H49,'How the score is generated'!$B$4:$I$73,4,0)="ü",$Q49,0)</f>
        <v>0</v>
      </c>
      <c r="AB49" s="36">
        <f>IF(VLOOKUP($H49,'How the score is generated'!$B$4:$I$73,4,0)="ü",$S49,0)</f>
        <v>0</v>
      </c>
      <c r="AC49" s="145">
        <f>IF(OR($M49=0,$N49=2),0,IF(VLOOKUP($H49,'How the score is generated'!$B$4:$I$73,4,0)="ü",2,0))</f>
        <v>0</v>
      </c>
      <c r="AD49" s="35">
        <f>IF(VLOOKUP($H49,'How the score is generated'!$B$4:$I$73,5,0)="ü",$Q49,0)</f>
        <v>0</v>
      </c>
      <c r="AE49" s="36">
        <f>IF(VLOOKUP($H49,'How the score is generated'!$B$4:$I$73,5,0)="ü",$S49,0)</f>
        <v>0</v>
      </c>
      <c r="AF49" s="145">
        <f>IF(OR($M49=0,$N49=2),0,IF(VLOOKUP($H49,'How the score is generated'!$B$4:$I$73,5,0)="ü",2,0))</f>
        <v>0</v>
      </c>
      <c r="AG49" s="35">
        <f>IF(VLOOKUP($H49,'How the score is generated'!$B$4:$I$73,6,0)="ü",$Q49,0)</f>
        <v>0</v>
      </c>
      <c r="AH49" s="36">
        <f>IF(VLOOKUP($H49,'How the score is generated'!$B$4:$I$73,6,0)="ü",$S49,0)</f>
        <v>0</v>
      </c>
      <c r="AI49" s="145">
        <f>IF(OR($M49=0,$N49=2),0,IF(VLOOKUP($H49,'How the score is generated'!$B$4:$I$73,6,0)="ü",2,0))</f>
        <v>2</v>
      </c>
      <c r="AJ49" s="35">
        <f>IF(VLOOKUP($H49,'How the score is generated'!$B$4:$I$73,7,0)="ü",$Q49,0)</f>
        <v>0</v>
      </c>
      <c r="AK49" s="36">
        <f>IF(VLOOKUP($H49,'How the score is generated'!$B$4:$I$73,7,0)="ü",$S49,0)</f>
        <v>0</v>
      </c>
      <c r="AL49" s="145">
        <f>IF(OR($M49=0,$N49=2),0,IF(VLOOKUP($H49,'How the score is generated'!$B$4:$I$73,7,0)="ü",2,0))</f>
        <v>0</v>
      </c>
      <c r="AM49" s="35">
        <f>IF(VLOOKUP($H49,'How the score is generated'!$B$4:$I$73,8,0)="ü",$Q49,0)</f>
        <v>0</v>
      </c>
      <c r="AN49" s="36">
        <f>IF(VLOOKUP($H49,'How the score is generated'!$B$4:$I$73,8,0)="ü",$S49,0)</f>
        <v>0</v>
      </c>
      <c r="AO49" s="145">
        <f>IF(OR($M49=0,$N49=2),0,IF(VLOOKUP($H49,'How the score is generated'!$B$4:$I$73,8,0)="ü",2,0))</f>
        <v>0</v>
      </c>
      <c r="AP49" s="23"/>
      <c r="AQ49" s="404" t="s">
        <v>1123</v>
      </c>
      <c r="AR49" s="23"/>
      <c r="AS49" s="396"/>
      <c r="AT49" s="23"/>
      <c r="AU49" s="397"/>
      <c r="AV49" s="397"/>
      <c r="AW49" s="34"/>
      <c r="AX49" s="34" t="str">
        <f t="shared" ref="AX49:AX61" si="25">IF(AW49="Amber",IF(S49=0,"Residual Amber",""),"")</f>
        <v/>
      </c>
      <c r="AY49" s="34" t="str">
        <f t="shared" ref="AY49:AY61" si="26">IF(M49=0,"",IF(O49="","",O49))</f>
        <v/>
      </c>
      <c r="AZ49" s="34" t="str">
        <f t="shared" ref="AZ49:AZ61" si="27">IF(M49=0,"",IF(P49="","",P49))</f>
        <v/>
      </c>
      <c r="BA49" s="34" t="str">
        <f t="shared" ref="BA49:BA61" si="28">D49&amp;". "&amp;H49</f>
        <v>30. Consideration of loading and servicing provision</v>
      </c>
      <c r="BB49" s="35">
        <f>IF(VLOOKUP($H49,'How the score is generated (H)'!$B$4:$H$73,2,0)="ü",$Q49,0)</f>
        <v>0</v>
      </c>
      <c r="BC49" s="36">
        <f>IF(VLOOKUP($H49,'How the score is generated (H)'!$B$4:$H$73,2,0)="ü",$S49,0)</f>
        <v>0</v>
      </c>
      <c r="BD49" s="145">
        <f>IF(OR($M49=0,$N49=2),0,IF(VLOOKUP($H49,'How the score is generated (H)'!$B$4:$H$73,2,0)="ü",2,0))</f>
        <v>2</v>
      </c>
      <c r="BE49" s="35">
        <f>IF(VLOOKUP($H49,'How the score is generated (H)'!$B$4:$H$73,3,0)="ü",$Q49,0)</f>
        <v>0</v>
      </c>
      <c r="BF49" s="36">
        <f>IF(VLOOKUP($H49,'How the score is generated (H)'!$B$4:$H$73,3,0)="ü",$S49,0)</f>
        <v>0</v>
      </c>
      <c r="BG49" s="145">
        <f>IF(OR($M49=0,$N49=2),0,IF(VLOOKUP($H49,'How the score is generated (H)'!$B$4:$H$73,3,0)="ü",2,0))</f>
        <v>2</v>
      </c>
      <c r="BH49" s="35">
        <f>IF(VLOOKUP($H49,'How the score is generated (H)'!$B$4:$H$73,4,0)="ü",$Q49,0)</f>
        <v>0</v>
      </c>
      <c r="BI49" s="36">
        <f>IF(VLOOKUP($H49,'How the score is generated (H)'!$B$4:$H$73,4,0)="ü",$S49,0)</f>
        <v>0</v>
      </c>
      <c r="BJ49" s="145">
        <f>IF(OR($M49=0,$N49=2),0,IF(VLOOKUP($H49,'How the score is generated (H)'!$B$4:$H$73,4,0)="ü",2,0))</f>
        <v>2</v>
      </c>
      <c r="BK49" s="35">
        <f>IF(VLOOKUP($H49,'How the score is generated (H)'!$B$4:$H$73,5,0)="ü",$Q49,0)</f>
        <v>0</v>
      </c>
      <c r="BL49" s="36">
        <f>IF(VLOOKUP($H49,'How the score is generated (H)'!$B$4:$H$73,5,0)="ü",$S49,0)</f>
        <v>0</v>
      </c>
      <c r="BM49" s="145">
        <f>IF(OR($M49=0,$N49=2),0,IF(VLOOKUP($H49,'How the score is generated (H)'!$B$4:$H$73,5,0)="ü",2,0))</f>
        <v>0</v>
      </c>
      <c r="BN49" s="35">
        <f>IF(VLOOKUP($H49,'How the score is generated (H)'!$B$4:$H$73,6,0)="ü",$Q49,0)</f>
        <v>0</v>
      </c>
      <c r="BO49" s="36">
        <f>IF(VLOOKUP($H49,'How the score is generated (H)'!$B$4:$H$73,6,0)="ü",$S49,0)</f>
        <v>0</v>
      </c>
      <c r="BP49" s="145">
        <f>IF(OR($M49=0,$N49=2),0,IF(VLOOKUP($H49,'How the score is generated (H)'!$B$4:$H$73,6,0)="ü",2,0))</f>
        <v>0</v>
      </c>
      <c r="BQ49" s="35">
        <f>IF(VLOOKUP($H49,'How the score is generated (H)'!$B$4:$H$73,7,0)="ü",$Q49,0)</f>
        <v>0</v>
      </c>
      <c r="BR49" s="36">
        <f>IF(VLOOKUP($H49,'How the score is generated (H)'!$B$4:$H$73,7,0)="ü",$S49,0)</f>
        <v>0</v>
      </c>
      <c r="BS49" s="145">
        <f>IF(OR($M49=0,$N49=2),0,IF(VLOOKUP($H49,'How the score is generated (H)'!$B$4:$H$73,7,0)="ü",2,0))</f>
        <v>0</v>
      </c>
      <c r="BT49" s="23"/>
      <c r="BU49" s="35">
        <f>IF(VLOOKUP($H49,'How the score is generated (P)'!$B$4:$H$73,2,0)="ü",$Q49,0)</f>
        <v>0</v>
      </c>
      <c r="BV49" s="36">
        <f>IF(VLOOKUP($H49,'How the score is generated (P)'!$B$4:$H$73,2,0)="ü",$S49,0)</f>
        <v>0</v>
      </c>
      <c r="BW49" s="145">
        <f>IF(OR($M49=0,$N49=2),0,IF(VLOOKUP($H49,'How the score is generated (P)'!$B$4:$I$73,2,0)="ü",2,0))</f>
        <v>0</v>
      </c>
      <c r="BX49" s="35">
        <f>IF(VLOOKUP($H49,'How the score is generated (P)'!$B$4:$H$73,3,0)="ü",$Q49,0)</f>
        <v>0</v>
      </c>
      <c r="BY49" s="36">
        <f>IF(VLOOKUP($H49,'How the score is generated (P)'!$B$4:$H$73,3,0)="ü",$S49,0)</f>
        <v>0</v>
      </c>
      <c r="BZ49" s="145">
        <f>IF(OR($M49=0,$N49=2),0,IF(VLOOKUP($H49,'How the score is generated (P)'!$B$4:$I$73,3,0)="ü",2,0))</f>
        <v>0</v>
      </c>
      <c r="CA49" s="35">
        <f>IF(VLOOKUP($H49,'How the score is generated (P)'!$B$4:$H$73,4,0)="ü",$Q49,0)</f>
        <v>0</v>
      </c>
      <c r="CB49" s="36">
        <f>IF(VLOOKUP($H49,'How the score is generated (P)'!$B$4:$H$73,4,0)="ü",$S49,0)</f>
        <v>0</v>
      </c>
      <c r="CC49" s="145">
        <f>IF(OR($M49=0,$N49=2),0,IF(VLOOKUP($H49,'How the score is generated (P)'!$B$4:$I$73,4,0)="ü",2,0))</f>
        <v>0</v>
      </c>
      <c r="CD49" s="35">
        <f>IF(VLOOKUP($H49,'How the score is generated (P)'!$B$4:$H$73,5,0)="ü",$Q49,0)</f>
        <v>0</v>
      </c>
      <c r="CE49" s="36">
        <f>IF(VLOOKUP($H49,'How the score is generated (P)'!$B$4:$H$73,5,0)="ü",$S49,0)</f>
        <v>0</v>
      </c>
      <c r="CF49" s="145">
        <f>IF(OR($M49=0,$N49=2),0,IF(VLOOKUP($H49,'How the score is generated (P)'!$B$4:$I$73,5,0)="ü",2,0))</f>
        <v>0</v>
      </c>
      <c r="CG49" s="35">
        <f>IF(VLOOKUP($H49,'How the score is generated (P)'!$B$4:$H$73,6,0)="ü",$Q49,0)</f>
        <v>0</v>
      </c>
      <c r="CH49" s="36">
        <f>IF(VLOOKUP($H49,'How the score is generated (P)'!$B$4:$H$73,6,0)="ü",$S49,0)</f>
        <v>0</v>
      </c>
      <c r="CI49" s="145">
        <f>IF(OR($M49=0,$N49=2),0,IF(VLOOKUP($H49,'How the score is generated (P)'!$B$4:$I$73,6,0)="ü",2,0))</f>
        <v>2</v>
      </c>
      <c r="CJ49" s="35">
        <f>IF(VLOOKUP($H49,'How the score is generated (P)'!$B$4:$H$73,7,0)="ü",$Q49,0)</f>
        <v>0</v>
      </c>
      <c r="CK49" s="36">
        <f>IF(VLOOKUP($H49,'How the score is generated (P)'!$B$4:$H$73,7,0)="ü",$S49,0)</f>
        <v>0</v>
      </c>
      <c r="CL49" s="145">
        <f>IF(OR($M49=0,$N49=2),0,IF(VLOOKUP($H49,'How the score is generated (P)'!$B$4:$I$73,7,0)="ü",2,0))</f>
        <v>2</v>
      </c>
      <c r="CM49" s="35">
        <f>IF(VLOOKUP($H49,'How the score is generated (P)'!$B$4:$I$73,8,0)="ü",$Q49,0)</f>
        <v>0</v>
      </c>
      <c r="CN49" s="36">
        <f>IF(VLOOKUP($H49,'How the score is generated (P)'!$B$4:$I$73,8,0)="ü",$S49,0)</f>
        <v>0</v>
      </c>
      <c r="CO49" s="239">
        <f>IF(OR($M49=0,$N49=2),0,IF(VLOOKUP($H49,'How the score is generated (P)'!$B$4:$I$73,8,0)="ü",2,0))</f>
        <v>0</v>
      </c>
      <c r="CP49" s="300"/>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row>
    <row r="50" spans="1:190" s="14" customFormat="1" ht="109.5" customHeight="1" thickBot="1" x14ac:dyDescent="0.4">
      <c r="A50" s="23"/>
      <c r="B50" s="31"/>
      <c r="C50" s="69" t="str">
        <f>Validation!$S$6</f>
        <v xml:space="preserve">Group 5. Street environment and design </v>
      </c>
      <c r="D50" s="392">
        <f t="shared" ref="D50:D56" si="29">D49+1</f>
        <v>31</v>
      </c>
      <c r="E50" s="212" t="s">
        <v>39</v>
      </c>
      <c r="F50" s="213" t="s">
        <v>20</v>
      </c>
      <c r="G50" s="214" t="s">
        <v>1176</v>
      </c>
      <c r="H50" s="215" t="s">
        <v>1175</v>
      </c>
      <c r="I50" s="390" t="s">
        <v>896</v>
      </c>
      <c r="J50" s="215" t="s">
        <v>1172</v>
      </c>
      <c r="K50" s="215" t="s">
        <v>1173</v>
      </c>
      <c r="L50" s="217" t="s">
        <v>1177</v>
      </c>
      <c r="M50" s="170">
        <f>IF(Project!$B$27="Off-Street",0,1)</f>
        <v>1</v>
      </c>
      <c r="N50" s="425">
        <f t="shared" si="22"/>
        <v>0</v>
      </c>
      <c r="O50" s="144"/>
      <c r="P50" s="144"/>
      <c r="Q50" s="441">
        <f>IF(OR($M50=0,$O50="N/A"),"NA",VLOOKUP($O50,Validation!$D$2:$E$7,2,0))</f>
        <v>0</v>
      </c>
      <c r="R50" s="129">
        <f t="shared" si="23"/>
        <v>2</v>
      </c>
      <c r="S50" s="441">
        <f>IF(OR($M50=0,$P50="N/A"),"NA",VLOOKUP($P50,Validation!$D$2:$E$7,2,0))</f>
        <v>0</v>
      </c>
      <c r="T50" s="34">
        <f t="shared" si="24"/>
        <v>2</v>
      </c>
      <c r="U50" s="394">
        <f>IF(VLOOKUP($H50,'How the score is generated'!$B$4:$I$73,2,0)="ü",$Q50,0)</f>
        <v>0</v>
      </c>
      <c r="V50" s="395">
        <f>IF(VLOOKUP($H50,'How the score is generated'!$B$4:$I$73,2,0)="ü",$S50,0)</f>
        <v>0</v>
      </c>
      <c r="W50" s="145">
        <f>IF(OR($M50=0,$N50=2),0,IF(VLOOKUP($H50,'How the score is generated'!$B$4:$I$73,2,0)="ü",2,0))</f>
        <v>0</v>
      </c>
      <c r="X50" s="394">
        <f>IF(VLOOKUP($H50,'How the score is generated'!$B$4:$I$73,3,0)="ü",$Q50,0)</f>
        <v>0</v>
      </c>
      <c r="Y50" s="395">
        <f>IF(VLOOKUP($H50,'How the score is generated'!$B$4:$I$73,3,0)="ü",$S50,0)</f>
        <v>0</v>
      </c>
      <c r="Z50" s="145">
        <f>IF(OR($M50=0,$N50=2),0,IF(VLOOKUP($H50,'How the score is generated'!$B$4:$I$73,3,0)="ü",2,0))</f>
        <v>0</v>
      </c>
      <c r="AA50" s="394">
        <f>IF(VLOOKUP($H50,'How the score is generated'!$B$4:$I$73,4,0)="ü",$Q50,0)</f>
        <v>0</v>
      </c>
      <c r="AB50" s="395">
        <f>IF(VLOOKUP($H50,'How the score is generated'!$B$4:$I$73,4,0)="ü",$S50,0)</f>
        <v>0</v>
      </c>
      <c r="AC50" s="145">
        <f>IF(OR($M50=0,$N50=2),0,IF(VLOOKUP($H50,'How the score is generated'!$B$4:$I$73,4,0)="ü",2,0))</f>
        <v>0</v>
      </c>
      <c r="AD50" s="394">
        <f>IF(VLOOKUP($H50,'How the score is generated'!$B$4:$I$73,5,0)="ü",$Q50,0)</f>
        <v>0</v>
      </c>
      <c r="AE50" s="395">
        <f>IF(VLOOKUP($H50,'How the score is generated'!$B$4:$I$73,5,0)="ü",$S50,0)</f>
        <v>0</v>
      </c>
      <c r="AF50" s="145">
        <f>IF(OR($M50=0,$N50=2),0,IF(VLOOKUP($H50,'How the score is generated'!$B$4:$I$73,5,0)="ü",2,0))</f>
        <v>0</v>
      </c>
      <c r="AG50" s="394">
        <f>IF(VLOOKUP($H50,'How the score is generated'!$B$4:$I$73,6,0)="ü",$Q50,0)</f>
        <v>0</v>
      </c>
      <c r="AH50" s="395">
        <f>IF(VLOOKUP($H50,'How the score is generated'!$B$4:$I$73,6,0)="ü",$S50,0)</f>
        <v>0</v>
      </c>
      <c r="AI50" s="145">
        <f>IF(OR($M50=0,$N50=2),0,IF(VLOOKUP($H50,'How the score is generated'!$B$4:$I$73,6,0)="ü",2,0))</f>
        <v>0</v>
      </c>
      <c r="AJ50" s="394">
        <f>IF(VLOOKUP($H50,'How the score is generated'!$B$4:$I$73,7,0)="ü",$Q50,0)</f>
        <v>0</v>
      </c>
      <c r="AK50" s="395">
        <f>IF(VLOOKUP($H50,'How the score is generated'!$B$4:$I$73,7,0)="ü",$S50,0)</f>
        <v>0</v>
      </c>
      <c r="AL50" s="145">
        <f>IF(OR($M50=0,$N50=2),0,IF(VLOOKUP($H50,'How the score is generated'!$B$4:$I$73,7,0)="ü",2,0))</f>
        <v>2</v>
      </c>
      <c r="AM50" s="394">
        <f>IF(VLOOKUP($H50,'How the score is generated'!$B$4:$I$73,8,0)="ü",$Q50,0)</f>
        <v>0</v>
      </c>
      <c r="AN50" s="395">
        <f>IF(VLOOKUP($H50,'How the score is generated'!$B$4:$I$73,8,0)="ü",$S50,0)</f>
        <v>0</v>
      </c>
      <c r="AO50" s="145">
        <f>IF(OR($M50=0,$N50=2),0,IF(VLOOKUP($H50,'How the score is generated'!$B$4:$I$73,8,0)="ü",2,0))</f>
        <v>0</v>
      </c>
      <c r="AP50" s="23"/>
      <c r="AQ50" s="407" t="s">
        <v>1174</v>
      </c>
      <c r="AR50" s="23"/>
      <c r="AS50" s="381"/>
      <c r="AT50" s="23"/>
      <c r="AU50" s="397"/>
      <c r="AV50" s="397"/>
      <c r="AW50" s="393"/>
      <c r="AX50" s="393" t="str">
        <f t="shared" si="25"/>
        <v/>
      </c>
      <c r="AY50" s="393" t="str">
        <f t="shared" si="26"/>
        <v/>
      </c>
      <c r="AZ50" s="393" t="str">
        <f t="shared" si="27"/>
        <v/>
      </c>
      <c r="BA50" s="393" t="str">
        <f t="shared" si="28"/>
        <v>31. Measures to reduce impact of through traffic in a street or area</v>
      </c>
      <c r="BB50" s="35">
        <f>IF(VLOOKUP($H50,'How the score is generated (H)'!$B$4:$H$73,2,0)="ü",$Q50,0)</f>
        <v>0</v>
      </c>
      <c r="BC50" s="36">
        <f>IF(VLOOKUP($H50,'How the score is generated (H)'!$B$4:$H$73,2,0)="ü",$S50,0)</f>
        <v>0</v>
      </c>
      <c r="BD50" s="145">
        <f>IF(OR($M50=0,$N50=2),0,IF(VLOOKUP($H50,'How the score is generated (H)'!$B$4:$H$73,2,0)="ü",2,0))</f>
        <v>2</v>
      </c>
      <c r="BE50" s="35">
        <f>IF(VLOOKUP($H50,'How the score is generated (H)'!$B$4:$H$73,3,0)="ü",$Q50,0)</f>
        <v>0</v>
      </c>
      <c r="BF50" s="36">
        <f>IF(VLOOKUP($H50,'How the score is generated (H)'!$B$4:$H$73,3,0)="ü",$S50,0)</f>
        <v>0</v>
      </c>
      <c r="BG50" s="145">
        <f>IF(OR($M50=0,$N50=2),0,IF(VLOOKUP($H50,'How the score is generated (H)'!$B$4:$H$73,3,0)="ü",2,0))</f>
        <v>2</v>
      </c>
      <c r="BH50" s="35">
        <f>IF(VLOOKUP($H50,'How the score is generated (H)'!$B$4:$H$73,4,0)="ü",$Q50,0)</f>
        <v>0</v>
      </c>
      <c r="BI50" s="36">
        <f>IF(VLOOKUP($H50,'How the score is generated (H)'!$B$4:$H$73,4,0)="ü",$S50,0)</f>
        <v>0</v>
      </c>
      <c r="BJ50" s="145">
        <f>IF(OR($M50=0,$N50=2),0,IF(VLOOKUP($H50,'How the score is generated (H)'!$B$4:$H$73,4,0)="ü",2,0))</f>
        <v>2</v>
      </c>
      <c r="BK50" s="35">
        <f>IF(VLOOKUP($H50,'How the score is generated (H)'!$B$4:$H$73,5,0)="ü",$Q50,0)</f>
        <v>0</v>
      </c>
      <c r="BL50" s="36">
        <f>IF(VLOOKUP($H50,'How the score is generated (H)'!$B$4:$H$73,5,0)="ü",$S50,0)</f>
        <v>0</v>
      </c>
      <c r="BM50" s="145">
        <f>IF(OR($M50=0,$N50=2),0,IF(VLOOKUP($H50,'How the score is generated (H)'!$B$4:$H$73,5,0)="ü",2,0))</f>
        <v>0</v>
      </c>
      <c r="BN50" s="35">
        <f>IF(VLOOKUP($H50,'How the score is generated (H)'!$B$4:$H$73,6,0)="ü",$Q50,0)</f>
        <v>0</v>
      </c>
      <c r="BO50" s="36">
        <f>IF(VLOOKUP($H50,'How the score is generated (H)'!$B$4:$H$73,6,0)="ü",$S50,0)</f>
        <v>0</v>
      </c>
      <c r="BP50" s="145">
        <f>IF(OR($M50=0,$N50=2),0,IF(VLOOKUP($H50,'How the score is generated (H)'!$B$4:$H$73,6,0)="ü",2,0))</f>
        <v>0</v>
      </c>
      <c r="BQ50" s="35">
        <f>IF(VLOOKUP($H50,'How the score is generated (H)'!$B$4:$H$73,7,0)="ü",$Q50,0)</f>
        <v>0</v>
      </c>
      <c r="BR50" s="36">
        <f>IF(VLOOKUP($H50,'How the score is generated (H)'!$B$4:$H$73,7,0)="ü",$S50,0)</f>
        <v>0</v>
      </c>
      <c r="BS50" s="145">
        <f>IF(OR($M50=0,$N50=2),0,IF(VLOOKUP($H50,'How the score is generated (H)'!$B$4:$H$73,7,0)="ü",2,0))</f>
        <v>2</v>
      </c>
      <c r="BT50" s="23"/>
      <c r="BU50" s="35">
        <f>IF(VLOOKUP($H50,'How the score is generated (P)'!$B$4:$H$73,2,0)="ü",$Q50,0)</f>
        <v>0</v>
      </c>
      <c r="BV50" s="36">
        <f>IF(VLOOKUP($H50,'How the score is generated (P)'!$B$4:$H$73,2,0)="ü",$S50,0)</f>
        <v>0</v>
      </c>
      <c r="BW50" s="145">
        <f>IF(OR($M50=0,$N50=2),0,IF(VLOOKUP($H50,'How the score is generated (P)'!$B$4:$I$73,2,0)="ü",2,0))</f>
        <v>2</v>
      </c>
      <c r="BX50" s="35">
        <f>IF(VLOOKUP($H50,'How the score is generated (P)'!$B$4:$H$73,3,0)="ü",$Q50,0)</f>
        <v>0</v>
      </c>
      <c r="BY50" s="36">
        <f>IF(VLOOKUP($H50,'How the score is generated (P)'!$B$4:$H$73,3,0)="ü",$S50,0)</f>
        <v>0</v>
      </c>
      <c r="BZ50" s="145">
        <f>IF(OR($M50=0,$N50=2),0,IF(VLOOKUP($H50,'How the score is generated (P)'!$B$4:$I$73,3,0)="ü",2,0))</f>
        <v>0</v>
      </c>
      <c r="CA50" s="35">
        <f>IF(VLOOKUP($H50,'How the score is generated (P)'!$B$4:$H$73,4,0)="ü",$Q50,0)</f>
        <v>0</v>
      </c>
      <c r="CB50" s="36">
        <f>IF(VLOOKUP($H50,'How the score is generated (P)'!$B$4:$H$73,4,0)="ü",$S50,0)</f>
        <v>0</v>
      </c>
      <c r="CC50" s="145">
        <f>IF(OR($M50=0,$N50=2),0,IF(VLOOKUP($H50,'How the score is generated (P)'!$B$4:$I$73,4,0)="ü",2,0))</f>
        <v>2</v>
      </c>
      <c r="CD50" s="35">
        <f>IF(VLOOKUP($H50,'How the score is generated (P)'!$B$4:$H$73,5,0)="ü",$Q50,0)</f>
        <v>0</v>
      </c>
      <c r="CE50" s="36">
        <f>IF(VLOOKUP($H50,'How the score is generated (P)'!$B$4:$H$73,5,0)="ü",$S50,0)</f>
        <v>0</v>
      </c>
      <c r="CF50" s="145">
        <f>IF(OR($M50=0,$N50=2),0,IF(VLOOKUP($H50,'How the score is generated (P)'!$B$4:$I$73,5,0)="ü",2,0))</f>
        <v>2</v>
      </c>
      <c r="CG50" s="35">
        <f>IF(VLOOKUP($H50,'How the score is generated (P)'!$B$4:$H$73,6,0)="ü",$Q50,0)</f>
        <v>0</v>
      </c>
      <c r="CH50" s="36">
        <f>IF(VLOOKUP($H50,'How the score is generated (P)'!$B$4:$H$73,6,0)="ü",$S50,0)</f>
        <v>0</v>
      </c>
      <c r="CI50" s="145">
        <f>IF(OR($M50=0,$N50=2),0,IF(VLOOKUP($H50,'How the score is generated (P)'!$B$4:$I$73,6,0)="ü",2,0))</f>
        <v>0</v>
      </c>
      <c r="CJ50" s="35">
        <f>IF(VLOOKUP($H50,'How the score is generated (P)'!$B$4:$H$73,7,0)="ü",$Q50,0)</f>
        <v>0</v>
      </c>
      <c r="CK50" s="36">
        <f>IF(VLOOKUP($H50,'How the score is generated (P)'!$B$4:$H$73,7,0)="ü",$S50,0)</f>
        <v>0</v>
      </c>
      <c r="CL50" s="145">
        <f>IF(OR($M50=0,$N50=2),0,IF(VLOOKUP($H50,'How the score is generated (P)'!$B$4:$I$73,7,0)="ü",2,0))</f>
        <v>0</v>
      </c>
      <c r="CM50" s="35">
        <f>IF(VLOOKUP($H50,'How the score is generated (P)'!$B$4:$I$73,8,0)="ü",$Q50,0)</f>
        <v>0</v>
      </c>
      <c r="CN50" s="36">
        <f>IF(VLOOKUP($H50,'How the score is generated (P)'!$B$4:$I$73,8,0)="ü",$S50,0)</f>
        <v>0</v>
      </c>
      <c r="CO50" s="239">
        <f>IF(OR($M50=0,$N50=2),0,IF(VLOOKUP($H50,'How the score is generated (P)'!$B$4:$I$73,8,0)="ü",2,0))</f>
        <v>0</v>
      </c>
      <c r="CP50" s="300" t="s">
        <v>1109</v>
      </c>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row>
    <row r="51" spans="1:190" ht="102" customHeight="1" thickBot="1" x14ac:dyDescent="0.4">
      <c r="A51" s="23"/>
      <c r="B51" s="31"/>
      <c r="C51" s="69" t="str">
        <f>Validation!$S$6</f>
        <v xml:space="preserve">Group 5. Street environment and design </v>
      </c>
      <c r="D51" s="392">
        <f t="shared" si="29"/>
        <v>32</v>
      </c>
      <c r="E51" s="212" t="s">
        <v>39</v>
      </c>
      <c r="F51" s="213" t="s">
        <v>20</v>
      </c>
      <c r="G51" s="214" t="s">
        <v>1115</v>
      </c>
      <c r="H51" s="215" t="s">
        <v>1116</v>
      </c>
      <c r="I51" s="390" t="s">
        <v>896</v>
      </c>
      <c r="J51" s="215" t="s">
        <v>1169</v>
      </c>
      <c r="K51" s="215" t="s">
        <v>1170</v>
      </c>
      <c r="L51" s="217" t="s">
        <v>1117</v>
      </c>
      <c r="M51" s="170">
        <f>IF(Project!$B$27="Off-Street",0,1)</f>
        <v>1</v>
      </c>
      <c r="N51" s="425">
        <f t="shared" si="22"/>
        <v>0</v>
      </c>
      <c r="O51" s="144"/>
      <c r="P51" s="144"/>
      <c r="Q51" s="441">
        <f>IF(OR($M51=0,$O51="N/A"),"NA",VLOOKUP($O51,Validation!$D$2:$E$7,2,0))</f>
        <v>0</v>
      </c>
      <c r="R51" s="129">
        <f t="shared" si="23"/>
        <v>2</v>
      </c>
      <c r="S51" s="441">
        <f>IF(OR($M51=0,$P51="N/A"),"NA",VLOOKUP($P51,Validation!$D$2:$E$7,2,0))</f>
        <v>0</v>
      </c>
      <c r="T51" s="34">
        <f t="shared" si="24"/>
        <v>2</v>
      </c>
      <c r="U51" s="394">
        <f>IF(VLOOKUP($H51,'How the score is generated'!$B$4:$I$73,2,0)="ü",$Q51,0)</f>
        <v>0</v>
      </c>
      <c r="V51" s="395">
        <f>IF(VLOOKUP($H51,'How the score is generated'!$B$4:$I$73,2,0)="ü",$S51,0)</f>
        <v>0</v>
      </c>
      <c r="W51" s="145">
        <f>IF(OR($M51=0,$N51=2),0,IF(VLOOKUP($H51,'How the score is generated'!$B$4:$I$73,2,0)="ü",2,0))</f>
        <v>2</v>
      </c>
      <c r="X51" s="394">
        <f>IF(VLOOKUP($H51,'How the score is generated'!$B$4:$I$73,3,0)="ü",$Q51,0)</f>
        <v>0</v>
      </c>
      <c r="Y51" s="395">
        <f>IF(VLOOKUP($H51,'How the score is generated'!$B$4:$I$73,3,0)="ü",$S51,0)</f>
        <v>0</v>
      </c>
      <c r="Z51" s="145">
        <f>IF(OR($M51=0,$N51=2),0,IF(VLOOKUP($H51,'How the score is generated'!$B$4:$I$73,3,0)="ü",2,0))</f>
        <v>2</v>
      </c>
      <c r="AA51" s="394">
        <f>IF(VLOOKUP($H51,'How the score is generated'!$B$4:$I$73,4,0)="ü",$Q51,0)</f>
        <v>0</v>
      </c>
      <c r="AB51" s="395">
        <f>IF(VLOOKUP($H51,'How the score is generated'!$B$4:$I$73,4,0)="ü",$S51,0)</f>
        <v>0</v>
      </c>
      <c r="AC51" s="145">
        <f>IF(OR($M51=0,$N51=2),0,IF(VLOOKUP($H51,'How the score is generated'!$B$4:$I$73,4,0)="ü",2,0))</f>
        <v>2</v>
      </c>
      <c r="AD51" s="394">
        <f>IF(VLOOKUP($H51,'How the score is generated'!$B$4:$I$73,5,0)="ü",$Q51,0)</f>
        <v>0</v>
      </c>
      <c r="AE51" s="395">
        <f>IF(VLOOKUP($H51,'How the score is generated'!$B$4:$I$73,5,0)="ü",$S51,0)</f>
        <v>0</v>
      </c>
      <c r="AF51" s="145">
        <f>IF(OR($M51=0,$N51=2),0,IF(VLOOKUP($H51,'How the score is generated'!$B$4:$I$73,5,0)="ü",2,0))</f>
        <v>0</v>
      </c>
      <c r="AG51" s="394">
        <f>IF(VLOOKUP($H51,'How the score is generated'!$B$4:$I$73,6,0)="ü",$Q51,0)</f>
        <v>0</v>
      </c>
      <c r="AH51" s="395">
        <f>IF(VLOOKUP($H51,'How the score is generated'!$B$4:$I$73,6,0)="ü",$S51,0)</f>
        <v>0</v>
      </c>
      <c r="AI51" s="145">
        <f>IF(OR($M51=0,$N51=2),0,IF(VLOOKUP($H51,'How the score is generated'!$B$4:$I$73,6,0)="ü",2,0))</f>
        <v>0</v>
      </c>
      <c r="AJ51" s="394">
        <f>IF(VLOOKUP($H51,'How the score is generated'!$B$4:$I$73,7,0)="ü",$Q51,0)</f>
        <v>0</v>
      </c>
      <c r="AK51" s="395">
        <f>IF(VLOOKUP($H51,'How the score is generated'!$B$4:$I$73,7,0)="ü",$S51,0)</f>
        <v>0</v>
      </c>
      <c r="AL51" s="145">
        <f>IF(OR($M51=0,$N51=2),0,IF(VLOOKUP($H51,'How the score is generated'!$B$4:$I$73,7,0)="ü",2,0))</f>
        <v>0</v>
      </c>
      <c r="AM51" s="394">
        <f>IF(VLOOKUP($H51,'How the score is generated'!$B$4:$I$73,8,0)="ü",$Q51,0)</f>
        <v>0</v>
      </c>
      <c r="AN51" s="395">
        <f>IF(VLOOKUP($H51,'How the score is generated'!$B$4:$I$73,8,0)="ü",$S51,0)</f>
        <v>0</v>
      </c>
      <c r="AO51" s="145">
        <f>IF(OR($M51=0,$N51=2),0,IF(VLOOKUP($H51,'How the score is generated'!$B$4:$I$73,8,0)="ü",2,0))</f>
        <v>0</v>
      </c>
      <c r="AP51" s="23"/>
      <c r="AQ51" s="404"/>
      <c r="AR51" s="23"/>
      <c r="AS51" s="381"/>
      <c r="AW51" s="393"/>
      <c r="AX51" s="393" t="str">
        <f t="shared" si="25"/>
        <v/>
      </c>
      <c r="AY51" s="393" t="str">
        <f t="shared" si="26"/>
        <v/>
      </c>
      <c r="AZ51" s="393" t="str">
        <f t="shared" si="27"/>
        <v/>
      </c>
      <c r="BA51" s="393" t="str">
        <f t="shared" si="28"/>
        <v>32. Street design and frontages</v>
      </c>
      <c r="BB51" s="35">
        <f>IF(VLOOKUP($H51,'How the score is generated (H)'!$B$4:$H$73,2,0)="ü",$Q51,0)</f>
        <v>0</v>
      </c>
      <c r="BC51" s="36">
        <f>IF(VLOOKUP($H51,'How the score is generated (H)'!$B$4:$H$73,2,0)="ü",$S51,0)</f>
        <v>0</v>
      </c>
      <c r="BD51" s="145">
        <f>IF(OR($M51=0,$N51=2),0,IF(VLOOKUP($H51,'How the score is generated (H)'!$B$4:$H$73,2,0)="ü",2,0))</f>
        <v>2</v>
      </c>
      <c r="BE51" s="35">
        <f>IF(VLOOKUP($H51,'How the score is generated (H)'!$B$4:$H$73,3,0)="ü",$Q51,0)</f>
        <v>0</v>
      </c>
      <c r="BF51" s="36">
        <f>IF(VLOOKUP($H51,'How the score is generated (H)'!$B$4:$H$73,3,0)="ü",$S51,0)</f>
        <v>0</v>
      </c>
      <c r="BG51" s="145">
        <f>IF(OR($M51=0,$N51=2),0,IF(VLOOKUP($H51,'How the score is generated (H)'!$B$4:$H$73,3,0)="ü",2,0))</f>
        <v>2</v>
      </c>
      <c r="BH51" s="35">
        <f>IF(VLOOKUP($H51,'How the score is generated (H)'!$B$4:$H$73,4,0)="ü",$Q51,0)</f>
        <v>0</v>
      </c>
      <c r="BI51" s="36">
        <f>IF(VLOOKUP($H51,'How the score is generated (H)'!$B$4:$H$73,4,0)="ü",$S51,0)</f>
        <v>0</v>
      </c>
      <c r="BJ51" s="145">
        <f>IF(OR($M51=0,$N51=2),0,IF(VLOOKUP($H51,'How the score is generated (H)'!$B$4:$H$73,4,0)="ü",2,0))</f>
        <v>2</v>
      </c>
      <c r="BK51" s="35">
        <f>IF(VLOOKUP($H51,'How the score is generated (H)'!$B$4:$H$73,5,0)="ü",$Q51,0)</f>
        <v>0</v>
      </c>
      <c r="BL51" s="36">
        <f>IF(VLOOKUP($H51,'How the score is generated (H)'!$B$4:$H$73,5,0)="ü",$S51,0)</f>
        <v>0</v>
      </c>
      <c r="BM51" s="145">
        <f>IF(OR($M51=0,$N51=2),0,IF(VLOOKUP($H51,'How the score is generated (H)'!$B$4:$H$73,5,0)="ü",2,0))</f>
        <v>2</v>
      </c>
      <c r="BN51" s="35">
        <f>IF(VLOOKUP($H51,'How the score is generated (H)'!$B$4:$H$73,6,0)="ü",$Q51,0)</f>
        <v>0</v>
      </c>
      <c r="BO51" s="36">
        <f>IF(VLOOKUP($H51,'How the score is generated (H)'!$B$4:$H$73,6,0)="ü",$S51,0)</f>
        <v>0</v>
      </c>
      <c r="BP51" s="145">
        <f>IF(OR($M51=0,$N51=2),0,IF(VLOOKUP($H51,'How the score is generated (H)'!$B$4:$H$73,6,0)="ü",2,0))</f>
        <v>2</v>
      </c>
      <c r="BQ51" s="35">
        <f>IF(VLOOKUP($H51,'How the score is generated (H)'!$B$4:$H$73,7,0)="ü",$Q51,0)</f>
        <v>0</v>
      </c>
      <c r="BR51" s="36">
        <f>IF(VLOOKUP($H51,'How the score is generated (H)'!$B$4:$H$73,7,0)="ü",$S51,0)</f>
        <v>0</v>
      </c>
      <c r="BS51" s="145">
        <f>IF(OR($M51=0,$N51=2),0,IF(VLOOKUP($H51,'How the score is generated (H)'!$B$4:$H$73,7,0)="ü",2,0))</f>
        <v>0</v>
      </c>
      <c r="BT51" s="23"/>
      <c r="BU51" s="35">
        <f>IF(VLOOKUP($H51,'How the score is generated (P)'!$B$4:$H$73,2,0)="ü",$Q51,0)</f>
        <v>0</v>
      </c>
      <c r="BV51" s="36">
        <f>IF(VLOOKUP($H51,'How the score is generated (P)'!$B$4:$H$73,2,0)="ü",$S51,0)</f>
        <v>0</v>
      </c>
      <c r="BW51" s="145">
        <f>IF(OR($M51=0,$N51=2),0,IF(VLOOKUP($H51,'How the score is generated (P)'!$B$4:$I$73,2,0)="ü",2,0))</f>
        <v>2</v>
      </c>
      <c r="BX51" s="35">
        <f>IF(VLOOKUP($H51,'How the score is generated (P)'!$B$4:$H$73,3,0)="ü",$Q51,0)</f>
        <v>0</v>
      </c>
      <c r="BY51" s="36">
        <f>IF(VLOOKUP($H51,'How the score is generated (P)'!$B$4:$H$73,3,0)="ü",$S51,0)</f>
        <v>0</v>
      </c>
      <c r="BZ51" s="145">
        <f>IF(OR($M51=0,$N51=2),0,IF(VLOOKUP($H51,'How the score is generated (P)'!$B$4:$I$73,3,0)="ü",2,0))</f>
        <v>2</v>
      </c>
      <c r="CA51" s="35">
        <f>IF(VLOOKUP($H51,'How the score is generated (P)'!$B$4:$H$73,4,0)="ü",$Q51,0)</f>
        <v>0</v>
      </c>
      <c r="CB51" s="36">
        <f>IF(VLOOKUP($H51,'How the score is generated (P)'!$B$4:$H$73,4,0)="ü",$S51,0)</f>
        <v>0</v>
      </c>
      <c r="CC51" s="145">
        <f>IF(OR($M51=0,$N51=2),0,IF(VLOOKUP($H51,'How the score is generated (P)'!$B$4:$I$73,4,0)="ü",2,0))</f>
        <v>2</v>
      </c>
      <c r="CD51" s="35">
        <f>IF(VLOOKUP($H51,'How the score is generated (P)'!$B$4:$H$73,5,0)="ü",$Q51,0)</f>
        <v>0</v>
      </c>
      <c r="CE51" s="36">
        <f>IF(VLOOKUP($H51,'How the score is generated (P)'!$B$4:$H$73,5,0)="ü",$S51,0)</f>
        <v>0</v>
      </c>
      <c r="CF51" s="145">
        <f>IF(OR($M51=0,$N51=2),0,IF(VLOOKUP($H51,'How the score is generated (P)'!$B$4:$I$73,5,0)="ü",2,0))</f>
        <v>2</v>
      </c>
      <c r="CG51" s="35">
        <f>IF(VLOOKUP($H51,'How the score is generated (P)'!$B$4:$H$73,6,0)="ü",$Q51,0)</f>
        <v>0</v>
      </c>
      <c r="CH51" s="36">
        <f>IF(VLOOKUP($H51,'How the score is generated (P)'!$B$4:$H$73,6,0)="ü",$S51,0)</f>
        <v>0</v>
      </c>
      <c r="CI51" s="145">
        <f>IF(OR($M51=0,$N51=2),0,IF(VLOOKUP($H51,'How the score is generated (P)'!$B$4:$I$73,6,0)="ü",2,0))</f>
        <v>0</v>
      </c>
      <c r="CJ51" s="35">
        <f>IF(VLOOKUP($H51,'How the score is generated (P)'!$B$4:$H$73,7,0)="ü",$Q51,0)</f>
        <v>0</v>
      </c>
      <c r="CK51" s="36">
        <f>IF(VLOOKUP($H51,'How the score is generated (P)'!$B$4:$H$73,7,0)="ü",$S51,0)</f>
        <v>0</v>
      </c>
      <c r="CL51" s="145">
        <f>IF(OR($M51=0,$N51=2),0,IF(VLOOKUP($H51,'How the score is generated (P)'!$B$4:$I$73,7,0)="ü",2,0))</f>
        <v>0</v>
      </c>
      <c r="CM51" s="35">
        <f>IF(VLOOKUP($H51,'How the score is generated (P)'!$B$4:$I$73,8,0)="ü",$Q51,0)</f>
        <v>0</v>
      </c>
      <c r="CN51" s="36">
        <f>IF(VLOOKUP($H51,'How the score is generated (P)'!$B$4:$I$73,8,0)="ü",$S51,0)</f>
        <v>0</v>
      </c>
      <c r="CO51" s="239">
        <f>IF(OR($M51=0,$N51=2),0,IF(VLOOKUP($H51,'How the score is generated (P)'!$B$4:$I$73,8,0)="ü",2,0))</f>
        <v>0</v>
      </c>
      <c r="CP51" s="300"/>
    </row>
    <row r="52" spans="1:190" ht="80.5" customHeight="1" thickBot="1" x14ac:dyDescent="0.4">
      <c r="A52" s="23"/>
      <c r="B52" s="31"/>
      <c r="C52" s="69" t="str">
        <f>Validation!$S$6</f>
        <v xml:space="preserve">Group 5. Street environment and design </v>
      </c>
      <c r="D52" s="164">
        <f t="shared" si="29"/>
        <v>33</v>
      </c>
      <c r="E52" s="44" t="s">
        <v>39</v>
      </c>
      <c r="F52" s="168" t="s">
        <v>20</v>
      </c>
      <c r="G52" s="39" t="s">
        <v>167</v>
      </c>
      <c r="H52" s="41" t="s">
        <v>1179</v>
      </c>
      <c r="I52" s="40" t="s">
        <v>1178</v>
      </c>
      <c r="J52" s="41" t="s">
        <v>1180</v>
      </c>
      <c r="K52" s="41" t="s">
        <v>1181</v>
      </c>
      <c r="L52" s="42" t="s">
        <v>1218</v>
      </c>
      <c r="M52" s="170">
        <f>IF(Project!$B$27="Off-Street",0,1)</f>
        <v>1</v>
      </c>
      <c r="N52" s="425">
        <f t="shared" si="22"/>
        <v>0</v>
      </c>
      <c r="O52" s="144"/>
      <c r="P52" s="144"/>
      <c r="Q52" s="441">
        <f>IF(OR($M52=0,$O52="N/A"),"NA",VLOOKUP($O52,Validation!$D$2:$E$7,2,0))</f>
        <v>0</v>
      </c>
      <c r="R52" s="129">
        <f t="shared" si="23"/>
        <v>2</v>
      </c>
      <c r="S52" s="441">
        <f>IF(OR($M52=0,$P52="N/A"),"NA",VLOOKUP($P52,Validation!$D$2:$E$7,2,0))</f>
        <v>0</v>
      </c>
      <c r="T52" s="34">
        <f t="shared" si="24"/>
        <v>2</v>
      </c>
      <c r="U52" s="35">
        <f>IF(VLOOKUP($H52,'How the score is generated'!$B$4:$I$73,2,0)="ü",$Q52,0)</f>
        <v>0</v>
      </c>
      <c r="V52" s="36">
        <f>IF(VLOOKUP($H52,'How the score is generated'!$B$4:$I$73,2,0)="ü",$S52,0)</f>
        <v>0</v>
      </c>
      <c r="W52" s="145">
        <f>IF(OR($M52=0,$N52=2),0,IF(VLOOKUP($H52,'How the score is generated'!$B$4:$I$73,2,0)="ü",2,0))</f>
        <v>2</v>
      </c>
      <c r="X52" s="35">
        <f>IF(VLOOKUP($H52,'How the score is generated'!$B$4:$I$73,3,0)="ü",$Q52,0)</f>
        <v>0</v>
      </c>
      <c r="Y52" s="36">
        <f>IF(VLOOKUP($H52,'How the score is generated'!$B$4:$I$73,3,0)="ü",$S52,0)</f>
        <v>0</v>
      </c>
      <c r="Z52" s="145">
        <f>IF(OR($M52=0,$N52=2),0,IF(VLOOKUP($H52,'How the score is generated'!$B$4:$I$73,3,0)="ü",2,0))</f>
        <v>2</v>
      </c>
      <c r="AA52" s="35">
        <f>IF(VLOOKUP($H52,'How the score is generated'!$B$4:$I$73,4,0)="ü",$Q52,0)</f>
        <v>0</v>
      </c>
      <c r="AB52" s="36">
        <f>IF(VLOOKUP($H52,'How the score is generated'!$B$4:$I$73,4,0)="ü",$S52,0)</f>
        <v>0</v>
      </c>
      <c r="AC52" s="145">
        <f>IF(OR($M52=0,$N52=2),0,IF(VLOOKUP($H52,'How the score is generated'!$B$4:$I$73,4,0)="ü",2,0))</f>
        <v>2</v>
      </c>
      <c r="AD52" s="35">
        <f>IF(VLOOKUP($H52,'How the score is generated'!$B$4:$I$73,5,0)="ü",$Q52,0)</f>
        <v>0</v>
      </c>
      <c r="AE52" s="36">
        <f>IF(VLOOKUP($H52,'How the score is generated'!$B$4:$I$73,5,0)="ü",$S52,0)</f>
        <v>0</v>
      </c>
      <c r="AF52" s="145">
        <f>IF(OR($M52=0,$N52=2),0,IF(VLOOKUP($H52,'How the score is generated'!$B$4:$I$73,5,0)="ü",2,0))</f>
        <v>0</v>
      </c>
      <c r="AG52" s="35">
        <f>IF(VLOOKUP($H52,'How the score is generated'!$B$4:$I$73,6,0)="ü",$Q52,0)</f>
        <v>0</v>
      </c>
      <c r="AH52" s="36">
        <f>IF(VLOOKUP($H52,'How the score is generated'!$B$4:$I$73,6,0)="ü",$S52,0)</f>
        <v>0</v>
      </c>
      <c r="AI52" s="145">
        <f>IF(OR($M52=0,$N52=2),0,IF(VLOOKUP($H52,'How the score is generated'!$B$4:$I$73,6,0)="ü",2,0))</f>
        <v>0</v>
      </c>
      <c r="AJ52" s="35">
        <f>IF(VLOOKUP($H52,'How the score is generated'!$B$4:$I$73,7,0)="ü",$Q52,0)</f>
        <v>0</v>
      </c>
      <c r="AK52" s="36">
        <f>IF(VLOOKUP($H52,'How the score is generated'!$B$4:$I$73,7,0)="ü",$S52,0)</f>
        <v>0</v>
      </c>
      <c r="AL52" s="145">
        <f>IF(OR($M52=0,$N52=2),0,IF(VLOOKUP($H52,'How the score is generated'!$B$4:$I$73,7,0)="ü",2,0))</f>
        <v>0</v>
      </c>
      <c r="AM52" s="35">
        <f>IF(VLOOKUP($H52,'How the score is generated'!$B$4:$I$73,8,0)="ü",$Q52,0)</f>
        <v>0</v>
      </c>
      <c r="AN52" s="36">
        <f>IF(VLOOKUP($H52,'How the score is generated'!$B$4:$I$73,8,0)="ü",$S52,0)</f>
        <v>0</v>
      </c>
      <c r="AO52" s="145">
        <f>IF(OR($M52=0,$N52=2),0,IF(VLOOKUP($H52,'How the score is generated'!$B$4:$I$73,8,0)="ü",2,0))</f>
        <v>0</v>
      </c>
      <c r="AP52" s="23"/>
      <c r="AQ52" s="404" t="s">
        <v>1182</v>
      </c>
      <c r="AR52" s="23"/>
      <c r="AS52" s="381"/>
      <c r="AW52" s="34"/>
      <c r="AX52" s="34" t="str">
        <f t="shared" si="25"/>
        <v/>
      </c>
      <c r="AY52" s="34" t="str">
        <f t="shared" si="26"/>
        <v/>
      </c>
      <c r="AZ52" s="34" t="str">
        <f t="shared" si="27"/>
        <v/>
      </c>
      <c r="BA52" s="34" t="str">
        <f t="shared" si="28"/>
        <v>33. Uniformity and quality of street lighting and its impact on users</v>
      </c>
      <c r="BB52" s="35">
        <f>IF(VLOOKUP($H52,'How the score is generated (H)'!$B$4:$H$73,2,0)="ü",$Q52,0)</f>
        <v>0</v>
      </c>
      <c r="BC52" s="36">
        <f>IF(VLOOKUP($H52,'How the score is generated (H)'!$B$4:$H$73,2,0)="ü",$S52,0)</f>
        <v>0</v>
      </c>
      <c r="BD52" s="145">
        <f>IF(OR($M52=0,$N52=2),0,IF(VLOOKUP($H52,'How the score is generated (H)'!$B$4:$H$73,2,0)="ü",2,0))</f>
        <v>2</v>
      </c>
      <c r="BE52" s="35">
        <f>IF(VLOOKUP($H52,'How the score is generated (H)'!$B$4:$H$73,3,0)="ü",$Q52,0)</f>
        <v>0</v>
      </c>
      <c r="BF52" s="36">
        <f>IF(VLOOKUP($H52,'How the score is generated (H)'!$B$4:$H$73,3,0)="ü",$S52,0)</f>
        <v>0</v>
      </c>
      <c r="BG52" s="145">
        <f>IF(OR($M52=0,$N52=2),0,IF(VLOOKUP($H52,'How the score is generated (H)'!$B$4:$H$73,3,0)="ü",2,0))</f>
        <v>2</v>
      </c>
      <c r="BH52" s="35">
        <f>IF(VLOOKUP($H52,'How the score is generated (H)'!$B$4:$H$73,4,0)="ü",$Q52,0)</f>
        <v>0</v>
      </c>
      <c r="BI52" s="36">
        <f>IF(VLOOKUP($H52,'How the score is generated (H)'!$B$4:$H$73,4,0)="ü",$S52,0)</f>
        <v>0</v>
      </c>
      <c r="BJ52" s="145">
        <f>IF(OR($M52=0,$N52=2),0,IF(VLOOKUP($H52,'How the score is generated (H)'!$B$4:$H$73,4,0)="ü",2,0))</f>
        <v>2</v>
      </c>
      <c r="BK52" s="35">
        <f>IF(VLOOKUP($H52,'How the score is generated (H)'!$B$4:$H$73,5,0)="ü",$Q52,0)</f>
        <v>0</v>
      </c>
      <c r="BL52" s="36">
        <f>IF(VLOOKUP($H52,'How the score is generated (H)'!$B$4:$H$73,5,0)="ü",$S52,0)</f>
        <v>0</v>
      </c>
      <c r="BM52" s="145">
        <f>IF(OR($M52=0,$N52=2),0,IF(VLOOKUP($H52,'How the score is generated (H)'!$B$4:$H$73,5,0)="ü",2,0))</f>
        <v>0</v>
      </c>
      <c r="BN52" s="35">
        <f>IF(VLOOKUP($H52,'How the score is generated (H)'!$B$4:$H$73,6,0)="ü",$Q52,0)</f>
        <v>0</v>
      </c>
      <c r="BO52" s="36">
        <f>IF(VLOOKUP($H52,'How the score is generated (H)'!$B$4:$H$73,6,0)="ü",$S52,0)</f>
        <v>0</v>
      </c>
      <c r="BP52" s="145">
        <f>IF(OR($M52=0,$N52=2),0,IF(VLOOKUP($H52,'How the score is generated (H)'!$B$4:$H$73,6,0)="ü",2,0))</f>
        <v>2</v>
      </c>
      <c r="BQ52" s="35">
        <f>IF(VLOOKUP($H52,'How the score is generated (H)'!$B$4:$H$73,7,0)="ü",$Q52,0)</f>
        <v>0</v>
      </c>
      <c r="BR52" s="36">
        <f>IF(VLOOKUP($H52,'How the score is generated (H)'!$B$4:$H$73,7,0)="ü",$S52,0)</f>
        <v>0</v>
      </c>
      <c r="BS52" s="145">
        <f>IF(OR($M52=0,$N52=2),0,IF(VLOOKUP($H52,'How the score is generated (H)'!$B$4:$H$73,7,0)="ü",2,0))</f>
        <v>0</v>
      </c>
      <c r="BT52" s="23"/>
      <c r="BU52" s="35">
        <f>IF(VLOOKUP($H52,'How the score is generated (P)'!$B$4:$H$73,2,0)="ü",$Q52,0)</f>
        <v>0</v>
      </c>
      <c r="BV52" s="36">
        <f>IF(VLOOKUP($H52,'How the score is generated (P)'!$B$4:$H$73,2,0)="ü",$S52,0)</f>
        <v>0</v>
      </c>
      <c r="BW52" s="145">
        <f>IF(OR($M52=0,$N52=2),0,IF(VLOOKUP($H52,'How the score is generated (P)'!$B$4:$I$73,2,0)="ü",2,0))</f>
        <v>2</v>
      </c>
      <c r="BX52" s="35">
        <f>IF(VLOOKUP($H52,'How the score is generated (P)'!$B$4:$H$73,3,0)="ü",$Q52,0)</f>
        <v>0</v>
      </c>
      <c r="BY52" s="36">
        <f>IF(VLOOKUP($H52,'How the score is generated (P)'!$B$4:$H$73,3,0)="ü",$S52,0)</f>
        <v>0</v>
      </c>
      <c r="BZ52" s="145">
        <f>IF(OR($M52=0,$N52=2),0,IF(VLOOKUP($H52,'How the score is generated (P)'!$B$4:$I$73,3,0)="ü",2,0))</f>
        <v>2</v>
      </c>
      <c r="CA52" s="35">
        <f>IF(VLOOKUP($H52,'How the score is generated (P)'!$B$4:$H$73,4,0)="ü",$Q52,0)</f>
        <v>0</v>
      </c>
      <c r="CB52" s="36">
        <f>IF(VLOOKUP($H52,'How the score is generated (P)'!$B$4:$H$73,4,0)="ü",$S52,0)</f>
        <v>0</v>
      </c>
      <c r="CC52" s="145">
        <f>IF(OR($M52=0,$N52=2),0,IF(VLOOKUP($H52,'How the score is generated (P)'!$B$4:$I$73,4,0)="ü",2,0))</f>
        <v>2</v>
      </c>
      <c r="CD52" s="35">
        <f>IF(VLOOKUP($H52,'How the score is generated (P)'!$B$4:$H$73,5,0)="ü",$Q52,0)</f>
        <v>0</v>
      </c>
      <c r="CE52" s="36">
        <f>IF(VLOOKUP($H52,'How the score is generated (P)'!$B$4:$H$73,5,0)="ü",$S52,0)</f>
        <v>0</v>
      </c>
      <c r="CF52" s="145">
        <f>IF(OR($M52=0,$N52=2),0,IF(VLOOKUP($H52,'How the score is generated (P)'!$B$4:$I$73,5,0)="ü",2,0))</f>
        <v>2</v>
      </c>
      <c r="CG52" s="35">
        <f>IF(VLOOKUP($H52,'How the score is generated (P)'!$B$4:$H$73,6,0)="ü",$Q52,0)</f>
        <v>0</v>
      </c>
      <c r="CH52" s="36">
        <f>IF(VLOOKUP($H52,'How the score is generated (P)'!$B$4:$H$73,6,0)="ü",$S52,0)</f>
        <v>0</v>
      </c>
      <c r="CI52" s="145">
        <f>IF(OR($M52=0,$N52=2),0,IF(VLOOKUP($H52,'How the score is generated (P)'!$B$4:$I$73,6,0)="ü",2,0))</f>
        <v>2</v>
      </c>
      <c r="CJ52" s="35">
        <f>IF(VLOOKUP($H52,'How the score is generated (P)'!$B$4:$H$73,7,0)="ü",$Q52,0)</f>
        <v>0</v>
      </c>
      <c r="CK52" s="36">
        <f>IF(VLOOKUP($H52,'How the score is generated (P)'!$B$4:$H$73,7,0)="ü",$S52,0)</f>
        <v>0</v>
      </c>
      <c r="CL52" s="145">
        <f>IF(OR($M52=0,$N52=2),0,IF(VLOOKUP($H52,'How the score is generated (P)'!$B$4:$I$73,7,0)="ü",2,0))</f>
        <v>2</v>
      </c>
      <c r="CM52" s="35">
        <f>IF(VLOOKUP($H52,'How the score is generated (P)'!$B$4:$I$73,8,0)="ü",$Q52,0)</f>
        <v>0</v>
      </c>
      <c r="CN52" s="36">
        <f>IF(VLOOKUP($H52,'How the score is generated (P)'!$B$4:$I$73,8,0)="ü",$S52,0)</f>
        <v>0</v>
      </c>
      <c r="CO52" s="239">
        <f>IF(OR($M52=0,$N52=2),0,IF(VLOOKUP($H52,'How the score is generated (P)'!$B$4:$I$73,8,0)="ü",2,0))</f>
        <v>0</v>
      </c>
      <c r="CP52" s="300" t="s">
        <v>1129</v>
      </c>
    </row>
    <row r="53" spans="1:190" ht="97.5" customHeight="1" thickBot="1" x14ac:dyDescent="0.4">
      <c r="A53" s="23"/>
      <c r="B53" s="31"/>
      <c r="C53" s="69" t="str">
        <f>Validation!$S$6</f>
        <v xml:space="preserve">Group 5. Street environment and design </v>
      </c>
      <c r="D53" s="164">
        <f t="shared" si="29"/>
        <v>34</v>
      </c>
      <c r="E53" s="182" t="s">
        <v>43</v>
      </c>
      <c r="F53" s="200" t="s">
        <v>20</v>
      </c>
      <c r="G53" s="39" t="s">
        <v>173</v>
      </c>
      <c r="H53" s="41" t="s">
        <v>1183</v>
      </c>
      <c r="I53" s="390" t="s">
        <v>896</v>
      </c>
      <c r="J53" s="382" t="s">
        <v>1243</v>
      </c>
      <c r="K53" s="189" t="s">
        <v>513</v>
      </c>
      <c r="L53" s="191" t="s">
        <v>1242</v>
      </c>
      <c r="M53" s="170">
        <f>IF(Project!$B$27="Off-Street",0,1)</f>
        <v>1</v>
      </c>
      <c r="N53" s="425">
        <f t="shared" si="22"/>
        <v>0</v>
      </c>
      <c r="O53" s="144"/>
      <c r="P53" s="144"/>
      <c r="Q53" s="441">
        <f>IF(OR($M53=0,$O53="N/A"),"NA",VLOOKUP($O53,Validation!$D$2:$E$7,2,0))</f>
        <v>0</v>
      </c>
      <c r="R53" s="129">
        <f t="shared" si="23"/>
        <v>2</v>
      </c>
      <c r="S53" s="441">
        <f>IF(OR($M53=0,$P53="N/A"),"NA",VLOOKUP($P53,Validation!$D$2:$E$7,2,0))</f>
        <v>0</v>
      </c>
      <c r="T53" s="34">
        <f t="shared" si="24"/>
        <v>2</v>
      </c>
      <c r="U53" s="35">
        <f>IF(VLOOKUP($H53,'How the score is generated'!$B$4:$I$73,2,0)="ü",$Q53,0)</f>
        <v>0</v>
      </c>
      <c r="V53" s="36">
        <f>IF(VLOOKUP($H53,'How the score is generated'!$B$4:$I$73,2,0)="ü",$S53,0)</f>
        <v>0</v>
      </c>
      <c r="W53" s="145">
        <f>IF(OR($M53=0,$N53=2),0,IF(VLOOKUP($H53,'How the score is generated'!$B$4:$I$73,2,0)="ü",2,0))</f>
        <v>0</v>
      </c>
      <c r="X53" s="35">
        <f>IF(VLOOKUP($H53,'How the score is generated'!$B$4:$I$73,3,0)="ü",$Q53,0)</f>
        <v>0</v>
      </c>
      <c r="Y53" s="36">
        <f>IF(VLOOKUP($H53,'How the score is generated'!$B$4:$I$73,3,0)="ü",$S53,0)</f>
        <v>0</v>
      </c>
      <c r="Z53" s="145">
        <f>IF(OR($M53=0,$N53=2),0,IF(VLOOKUP($H53,'How the score is generated'!$B$4:$I$73,3,0)="ü",2,0))</f>
        <v>0</v>
      </c>
      <c r="AA53" s="35">
        <f>IF(VLOOKUP($H53,'How the score is generated'!$B$4:$I$73,4,0)="ü",$Q53,0)</f>
        <v>0</v>
      </c>
      <c r="AB53" s="36">
        <f>IF(VLOOKUP($H53,'How the score is generated'!$B$4:$I$73,4,0)="ü",$S53,0)</f>
        <v>0</v>
      </c>
      <c r="AC53" s="145">
        <f>IF(OR($M53=0,$N53=2),0,IF(VLOOKUP($H53,'How the score is generated'!$B$4:$I$73,4,0)="ü",2,0))</f>
        <v>2</v>
      </c>
      <c r="AD53" s="35">
        <f>IF(VLOOKUP($H53,'How the score is generated'!$B$4:$I$73,5,0)="ü",$Q53,0)</f>
        <v>0</v>
      </c>
      <c r="AE53" s="36">
        <f>IF(VLOOKUP($H53,'How the score is generated'!$B$4:$I$73,5,0)="ü",$S53,0)</f>
        <v>0</v>
      </c>
      <c r="AF53" s="145">
        <f>IF(OR($M53=0,$N53=2),0,IF(VLOOKUP($H53,'How the score is generated'!$B$4:$I$73,5,0)="ü",2,0))</f>
        <v>0</v>
      </c>
      <c r="AG53" s="35">
        <f>IF(VLOOKUP($H53,'How the score is generated'!$B$4:$I$73,6,0)="ü",$Q53,0)</f>
        <v>0</v>
      </c>
      <c r="AH53" s="36">
        <f>IF(VLOOKUP($H53,'How the score is generated'!$B$4:$I$73,6,0)="ü",$S53,0)</f>
        <v>0</v>
      </c>
      <c r="AI53" s="145">
        <f>IF(OR($M53=0,$N53=2),0,IF(VLOOKUP($H53,'How the score is generated'!$B$4:$I$73,6,0)="ü",2,0))</f>
        <v>0</v>
      </c>
      <c r="AJ53" s="35">
        <f>IF(VLOOKUP($H53,'How the score is generated'!$B$4:$I$73,7,0)="ü",$Q53,0)</f>
        <v>0</v>
      </c>
      <c r="AK53" s="36">
        <f>IF(VLOOKUP($H53,'How the score is generated'!$B$4:$I$73,7,0)="ü",$S53,0)</f>
        <v>0</v>
      </c>
      <c r="AL53" s="145">
        <f>IF(OR($M53=0,$N53=2),0,IF(VLOOKUP($H53,'How the score is generated'!$B$4:$I$73,7,0)="ü",2,0))</f>
        <v>0</v>
      </c>
      <c r="AM53" s="35">
        <f>IF(VLOOKUP($H53,'How the score is generated'!$B$4:$I$73,8,0)="ü",$Q53,0)</f>
        <v>0</v>
      </c>
      <c r="AN53" s="36">
        <f>IF(VLOOKUP($H53,'How the score is generated'!$B$4:$I$73,8,0)="ü",$S53,0)</f>
        <v>0</v>
      </c>
      <c r="AO53" s="145">
        <f>IF(OR($M53=0,$N53=2),0,IF(VLOOKUP($H53,'How the score is generated'!$B$4:$I$73,8,0)="ü",2,0))</f>
        <v>0</v>
      </c>
      <c r="AP53" s="23"/>
      <c r="AQ53" s="405" t="s">
        <v>1184</v>
      </c>
      <c r="AR53" s="23"/>
      <c r="AS53" s="208"/>
      <c r="AW53" s="34" t="s">
        <v>177</v>
      </c>
      <c r="AX53" s="34" t="str">
        <f t="shared" si="25"/>
        <v>Residual Amber</v>
      </c>
      <c r="AY53" s="34" t="str">
        <f t="shared" si="26"/>
        <v/>
      </c>
      <c r="AZ53" s="34" t="str">
        <f t="shared" si="27"/>
        <v/>
      </c>
      <c r="BA53" s="34" t="str">
        <f t="shared" si="28"/>
        <v>34. Provision of secure cycle parking on-street and off-street</v>
      </c>
      <c r="BB53" s="35">
        <f>IF(VLOOKUP($H53,'How the score is generated (H)'!$B$4:$H$73,2,0)="ü",$Q53,0)</f>
        <v>0</v>
      </c>
      <c r="BC53" s="36">
        <f>IF(VLOOKUP($H53,'How the score is generated (H)'!$B$4:$H$73,2,0)="ü",$S53,0)</f>
        <v>0</v>
      </c>
      <c r="BD53" s="145">
        <f>IF(OR($M53=0,$N53=2),0,IF(VLOOKUP($H53,'How the score is generated (H)'!$B$4:$H$73,2,0)="ü",2,0))</f>
        <v>0</v>
      </c>
      <c r="BE53" s="35">
        <f>IF(VLOOKUP($H53,'How the score is generated (H)'!$B$4:$H$73,3,0)="ü",$Q53,0)</f>
        <v>0</v>
      </c>
      <c r="BF53" s="36">
        <f>IF(VLOOKUP($H53,'How the score is generated (H)'!$B$4:$H$73,3,0)="ü",$S53,0)</f>
        <v>0</v>
      </c>
      <c r="BG53" s="145">
        <f>IF(OR($M53=0,$N53=2),0,IF(VLOOKUP($H53,'How the score is generated (H)'!$B$4:$H$73,3,0)="ü",2,0))</f>
        <v>0</v>
      </c>
      <c r="BH53" s="35">
        <f>IF(VLOOKUP($H53,'How the score is generated (H)'!$B$4:$H$73,4,0)="ü",$Q53,0)</f>
        <v>0</v>
      </c>
      <c r="BI53" s="36">
        <f>IF(VLOOKUP($H53,'How the score is generated (H)'!$B$4:$H$73,4,0)="ü",$S53,0)</f>
        <v>0</v>
      </c>
      <c r="BJ53" s="145">
        <f>IF(OR($M53=0,$N53=2),0,IF(VLOOKUP($H53,'How the score is generated (H)'!$B$4:$H$73,4,0)="ü",2,0))</f>
        <v>2</v>
      </c>
      <c r="BK53" s="35">
        <f>IF(VLOOKUP($H53,'How the score is generated (H)'!$B$4:$H$73,5,0)="ü",$Q53,0)</f>
        <v>0</v>
      </c>
      <c r="BL53" s="36">
        <f>IF(VLOOKUP($H53,'How the score is generated (H)'!$B$4:$H$73,5,0)="ü",$S53,0)</f>
        <v>0</v>
      </c>
      <c r="BM53" s="145">
        <f>IF(OR($M53=0,$N53=2),0,IF(VLOOKUP($H53,'How the score is generated (H)'!$B$4:$H$73,5,0)="ü",2,0))</f>
        <v>0</v>
      </c>
      <c r="BN53" s="35">
        <f>IF(VLOOKUP($H53,'How the score is generated (H)'!$B$4:$H$73,6,0)="ü",$Q53,0)</f>
        <v>0</v>
      </c>
      <c r="BO53" s="36">
        <f>IF(VLOOKUP($H53,'How the score is generated (H)'!$B$4:$H$73,6,0)="ü",$S53,0)</f>
        <v>0</v>
      </c>
      <c r="BP53" s="145">
        <f>IF(OR($M53=0,$N53=2),0,IF(VLOOKUP($H53,'How the score is generated (H)'!$B$4:$H$73,6,0)="ü",2,0))</f>
        <v>0</v>
      </c>
      <c r="BQ53" s="35">
        <f>IF(VLOOKUP($H53,'How the score is generated (H)'!$B$4:$H$73,7,0)="ü",$Q53,0)</f>
        <v>0</v>
      </c>
      <c r="BR53" s="36">
        <f>IF(VLOOKUP($H53,'How the score is generated (H)'!$B$4:$H$73,7,0)="ü",$S53,0)</f>
        <v>0</v>
      </c>
      <c r="BS53" s="145">
        <f>IF(OR($M53=0,$N53=2),0,IF(VLOOKUP($H53,'How the score is generated (H)'!$B$4:$H$73,7,0)="ü",2,0))</f>
        <v>0</v>
      </c>
      <c r="BT53" s="23"/>
      <c r="BU53" s="35">
        <f>IF(VLOOKUP($H53,'How the score is generated (P)'!$B$4:$H$73,2,0)="ü",$Q53,0)</f>
        <v>0</v>
      </c>
      <c r="BV53" s="36">
        <f>IF(VLOOKUP($H53,'How the score is generated (P)'!$B$4:$H$73,2,0)="ü",$S53,0)</f>
        <v>0</v>
      </c>
      <c r="BW53" s="145">
        <f>IF(OR($M53=0,$N53=2),0,IF(VLOOKUP($H53,'How the score is generated (P)'!$B$4:$I$73,2,0)="ü",2,0))</f>
        <v>0</v>
      </c>
      <c r="BX53" s="35">
        <f>IF(VLOOKUP($H53,'How the score is generated (P)'!$B$4:$H$73,3,0)="ü",$Q53,0)</f>
        <v>0</v>
      </c>
      <c r="BY53" s="36">
        <f>IF(VLOOKUP($H53,'How the score is generated (P)'!$B$4:$H$73,3,0)="ü",$S53,0)</f>
        <v>0</v>
      </c>
      <c r="BZ53" s="145">
        <f>IF(OR($M53=0,$N53=2),0,IF(VLOOKUP($H53,'How the score is generated (P)'!$B$4:$I$73,3,0)="ü",2,0))</f>
        <v>0</v>
      </c>
      <c r="CA53" s="35">
        <f>IF(VLOOKUP($H53,'How the score is generated (P)'!$B$4:$H$73,4,0)="ü",$Q53,0)</f>
        <v>0</v>
      </c>
      <c r="CB53" s="36">
        <f>IF(VLOOKUP($H53,'How the score is generated (P)'!$B$4:$H$73,4,0)="ü",$S53,0)</f>
        <v>0</v>
      </c>
      <c r="CC53" s="145">
        <f>IF(OR($M53=0,$N53=2),0,IF(VLOOKUP($H53,'How the score is generated (P)'!$B$4:$I$73,4,0)="ü",2,0))</f>
        <v>0</v>
      </c>
      <c r="CD53" s="35">
        <f>IF(VLOOKUP($H53,'How the score is generated (P)'!$B$4:$H$73,5,0)="ü",$Q53,0)</f>
        <v>0</v>
      </c>
      <c r="CE53" s="36">
        <f>IF(VLOOKUP($H53,'How the score is generated (P)'!$B$4:$H$73,5,0)="ü",$S53,0)</f>
        <v>0</v>
      </c>
      <c r="CF53" s="145">
        <f>IF(OR($M53=0,$N53=2),0,IF(VLOOKUP($H53,'How the score is generated (P)'!$B$4:$I$73,5,0)="ü",2,0))</f>
        <v>0</v>
      </c>
      <c r="CG53" s="35">
        <f>IF(VLOOKUP($H53,'How the score is generated (P)'!$B$4:$H$73,6,0)="ü",$Q53,0)</f>
        <v>0</v>
      </c>
      <c r="CH53" s="36">
        <f>IF(VLOOKUP($H53,'How the score is generated (P)'!$B$4:$H$73,6,0)="ü",$S53,0)</f>
        <v>0</v>
      </c>
      <c r="CI53" s="145">
        <f>IF(OR($M53=0,$N53=2),0,IF(VLOOKUP($H53,'How the score is generated (P)'!$B$4:$I$73,6,0)="ü",2,0))</f>
        <v>0</v>
      </c>
      <c r="CJ53" s="35">
        <f>IF(VLOOKUP($H53,'How the score is generated (P)'!$B$4:$H$73,7,0)="ü",$Q53,0)</f>
        <v>0</v>
      </c>
      <c r="CK53" s="36">
        <f>IF(VLOOKUP($H53,'How the score is generated (P)'!$B$4:$H$73,7,0)="ü",$S53,0)</f>
        <v>0</v>
      </c>
      <c r="CL53" s="145">
        <f>IF(OR($M53=0,$N53=2),0,IF(VLOOKUP($H53,'How the score is generated (P)'!$B$4:$I$73,7,0)="ü",2,0))</f>
        <v>0</v>
      </c>
      <c r="CM53" s="35">
        <f>IF(VLOOKUP($H53,'How the score is generated (P)'!$B$4:$I$73,8,0)="ü",$Q53,0)</f>
        <v>0</v>
      </c>
      <c r="CN53" s="36">
        <f>IF(VLOOKUP($H53,'How the score is generated (P)'!$B$4:$I$73,8,0)="ü",$S53,0)</f>
        <v>0</v>
      </c>
      <c r="CO53" s="239">
        <f>IF(OR($M53=0,$N53=2),0,IF(VLOOKUP($H53,'How the score is generated (P)'!$B$4:$I$73,8,0)="ü",2,0))</f>
        <v>0</v>
      </c>
      <c r="CP53" s="300" t="s">
        <v>1106</v>
      </c>
    </row>
    <row r="54" spans="1:190" ht="98" customHeight="1" thickBot="1" x14ac:dyDescent="0.4">
      <c r="A54" s="23"/>
      <c r="B54" s="31"/>
      <c r="C54" s="69" t="str">
        <f>Validation!$S$6</f>
        <v xml:space="preserve">Group 5. Street environment and design </v>
      </c>
      <c r="D54" s="164">
        <f t="shared" si="29"/>
        <v>35</v>
      </c>
      <c r="E54" s="182" t="s">
        <v>43</v>
      </c>
      <c r="F54" s="186" t="s">
        <v>43</v>
      </c>
      <c r="G54" s="39" t="s">
        <v>1185</v>
      </c>
      <c r="H54" s="41" t="s">
        <v>1187</v>
      </c>
      <c r="I54" s="390" t="s">
        <v>896</v>
      </c>
      <c r="J54" s="382" t="s">
        <v>871</v>
      </c>
      <c r="K54" s="189" t="s">
        <v>872</v>
      </c>
      <c r="L54" s="191" t="s">
        <v>873</v>
      </c>
      <c r="M54" s="170">
        <f>IF(Project!$B$27="Off-Street",0,1)</f>
        <v>1</v>
      </c>
      <c r="N54" s="425">
        <f t="shared" si="22"/>
        <v>0</v>
      </c>
      <c r="O54" s="144"/>
      <c r="P54" s="144"/>
      <c r="Q54" s="441">
        <f>IF(OR($M54=0,$O54="N/A"),"NA",VLOOKUP($O54,Validation!$D$2:$E$7,2,0))</f>
        <v>0</v>
      </c>
      <c r="R54" s="129">
        <f t="shared" si="23"/>
        <v>2</v>
      </c>
      <c r="S54" s="441">
        <f>IF(OR($M54=0,$P54="N/A"),"NA",VLOOKUP($P54,Validation!$D$2:$E$7,2,0))</f>
        <v>0</v>
      </c>
      <c r="T54" s="34">
        <f t="shared" si="24"/>
        <v>2</v>
      </c>
      <c r="U54" s="35">
        <f>IF(VLOOKUP($H54,'How the score is generated'!$B$4:$I$73,2,0)="ü",$Q54,0)</f>
        <v>0</v>
      </c>
      <c r="V54" s="36">
        <f>IF(VLOOKUP($H54,'How the score is generated'!$B$4:$I$73,2,0)="ü",$S54,0)</f>
        <v>0</v>
      </c>
      <c r="W54" s="145">
        <f>IF(OR($M54=0,$N54=2),0,IF(VLOOKUP($H54,'How the score is generated'!$B$4:$I$73,2,0)="ü",2,0))</f>
        <v>2</v>
      </c>
      <c r="X54" s="35">
        <f>IF(VLOOKUP($H54,'How the score is generated'!$B$4:$I$73,3,0)="ü",$Q54,0)</f>
        <v>0</v>
      </c>
      <c r="Y54" s="36">
        <f>IF(VLOOKUP($H54,'How the score is generated'!$B$4:$I$73,3,0)="ü",$S54,0)</f>
        <v>0</v>
      </c>
      <c r="Z54" s="145">
        <f>IF(OR($M54=0,$N54=2),0,IF(VLOOKUP($H54,'How the score is generated'!$B$4:$I$73,3,0)="ü",2,0))</f>
        <v>2</v>
      </c>
      <c r="AA54" s="35">
        <f>IF(VLOOKUP($H54,'How the score is generated'!$B$4:$I$73,4,0)="ü",$Q54,0)</f>
        <v>0</v>
      </c>
      <c r="AB54" s="36">
        <f>IF(VLOOKUP($H54,'How the score is generated'!$B$4:$I$73,4,0)="ü",$S54,0)</f>
        <v>0</v>
      </c>
      <c r="AC54" s="145">
        <f>IF(OR($M54=0,$N54=2),0,IF(VLOOKUP($H54,'How the score is generated'!$B$4:$I$73,4,0)="ü",2,0))</f>
        <v>0</v>
      </c>
      <c r="AD54" s="35">
        <f>IF(VLOOKUP($H54,'How the score is generated'!$B$4:$I$73,5,0)="ü",$Q54,0)</f>
        <v>0</v>
      </c>
      <c r="AE54" s="36">
        <f>IF(VLOOKUP($H54,'How the score is generated'!$B$4:$I$73,5,0)="ü",$S54,0)</f>
        <v>0</v>
      </c>
      <c r="AF54" s="145">
        <f>IF(OR($M54=0,$N54=2),0,IF(VLOOKUP($H54,'How the score is generated'!$B$4:$I$73,5,0)="ü",2,0))</f>
        <v>0</v>
      </c>
      <c r="AG54" s="35">
        <f>IF(VLOOKUP($H54,'How the score is generated'!$B$4:$I$73,6,0)="ü",$Q54,0)</f>
        <v>0</v>
      </c>
      <c r="AH54" s="36">
        <f>IF(VLOOKUP($H54,'How the score is generated'!$B$4:$I$73,6,0)="ü",$S54,0)</f>
        <v>0</v>
      </c>
      <c r="AI54" s="145">
        <f>IF(OR($M54=0,$N54=2),0,IF(VLOOKUP($H54,'How the score is generated'!$B$4:$I$73,6,0)="ü",2,0))</f>
        <v>0</v>
      </c>
      <c r="AJ54" s="35">
        <f>IF(VLOOKUP($H54,'How the score is generated'!$B$4:$I$73,7,0)="ü",$Q54,0)</f>
        <v>0</v>
      </c>
      <c r="AK54" s="36">
        <f>IF(VLOOKUP($H54,'How the score is generated'!$B$4:$I$73,7,0)="ü",$S54,0)</f>
        <v>0</v>
      </c>
      <c r="AL54" s="145">
        <f>IF(OR($M54=0,$N54=2),0,IF(VLOOKUP($H54,'How the score is generated'!$B$4:$I$73,7,0)="ü",2,0))</f>
        <v>0</v>
      </c>
      <c r="AM54" s="35">
        <f>IF(VLOOKUP($H54,'How the score is generated'!$B$4:$I$73,8,0)="ü",$Q54,0)</f>
        <v>0</v>
      </c>
      <c r="AN54" s="36">
        <f>IF(VLOOKUP($H54,'How the score is generated'!$B$4:$I$73,8,0)="ü",$S54,0)</f>
        <v>0</v>
      </c>
      <c r="AO54" s="145">
        <f>IF(OR($M54=0,$N54=2),0,IF(VLOOKUP($H54,'How the score is generated'!$B$4:$I$73,8,0)="ü",2,0))</f>
        <v>2</v>
      </c>
      <c r="AP54" s="23"/>
      <c r="AQ54" s="404" t="s">
        <v>1188</v>
      </c>
      <c r="AR54" s="23"/>
      <c r="AS54" s="381"/>
      <c r="AW54" s="34" t="s">
        <v>177</v>
      </c>
      <c r="AX54" s="34" t="str">
        <f t="shared" si="25"/>
        <v>Residual Amber</v>
      </c>
      <c r="AY54" s="34" t="str">
        <f t="shared" si="26"/>
        <v/>
      </c>
      <c r="AZ54" s="34" t="str">
        <f t="shared" si="27"/>
        <v/>
      </c>
      <c r="BA54" s="34" t="str">
        <f t="shared" si="28"/>
        <v>35. Quantity/coverage, continuity and quality of green and blue infrastructure to support local nature recovery</v>
      </c>
      <c r="BB54" s="35">
        <f>IF(VLOOKUP($H54,'How the score is generated (H)'!$B$4:$H$73,2,0)="ü",$Q54,0)</f>
        <v>0</v>
      </c>
      <c r="BC54" s="36">
        <f>IF(VLOOKUP($H54,'How the score is generated (H)'!$B$4:$H$73,2,0)="ü",$S54,0)</f>
        <v>0</v>
      </c>
      <c r="BD54" s="145">
        <f>IF(OR($M54=0,$N54=2),0,IF(VLOOKUP($H54,'How the score is generated (H)'!$B$4:$H$73,2,0)="ü",2,0))</f>
        <v>2</v>
      </c>
      <c r="BE54" s="35">
        <f>IF(VLOOKUP($H54,'How the score is generated (H)'!$B$4:$H$73,3,0)="ü",$Q54,0)</f>
        <v>0</v>
      </c>
      <c r="BF54" s="36">
        <f>IF(VLOOKUP($H54,'How the score is generated (H)'!$B$4:$H$73,3,0)="ü",$S54,0)</f>
        <v>0</v>
      </c>
      <c r="BG54" s="145">
        <f>IF(OR($M54=0,$N54=2),0,IF(VLOOKUP($H54,'How the score is generated (H)'!$B$4:$H$73,3,0)="ü",2,0))</f>
        <v>2</v>
      </c>
      <c r="BH54" s="35">
        <f>IF(VLOOKUP($H54,'How the score is generated (H)'!$B$4:$H$73,4,0)="ü",$Q54,0)</f>
        <v>0</v>
      </c>
      <c r="BI54" s="36">
        <f>IF(VLOOKUP($H54,'How the score is generated (H)'!$B$4:$H$73,4,0)="ü",$S54,0)</f>
        <v>0</v>
      </c>
      <c r="BJ54" s="145">
        <f>IF(OR($M54=0,$N54=2),0,IF(VLOOKUP($H54,'How the score is generated (H)'!$B$4:$H$73,4,0)="ü",2,0))</f>
        <v>0</v>
      </c>
      <c r="BK54" s="35">
        <f>IF(VLOOKUP($H54,'How the score is generated (H)'!$B$4:$H$73,5,0)="ü",$Q54,0)</f>
        <v>0</v>
      </c>
      <c r="BL54" s="36">
        <f>IF(VLOOKUP($H54,'How the score is generated (H)'!$B$4:$H$73,5,0)="ü",$S54,0)</f>
        <v>0</v>
      </c>
      <c r="BM54" s="145">
        <f>IF(OR($M54=0,$N54=2),0,IF(VLOOKUP($H54,'How the score is generated (H)'!$B$4:$H$73,5,0)="ü",2,0))</f>
        <v>2</v>
      </c>
      <c r="BN54" s="35">
        <f>IF(VLOOKUP($H54,'How the score is generated (H)'!$B$4:$H$73,6,0)="ü",$Q54,0)</f>
        <v>0</v>
      </c>
      <c r="BO54" s="36">
        <f>IF(VLOOKUP($H54,'How the score is generated (H)'!$B$4:$H$73,6,0)="ü",$S54,0)</f>
        <v>0</v>
      </c>
      <c r="BP54" s="145">
        <f>IF(OR($M54=0,$N54=2),0,IF(VLOOKUP($H54,'How the score is generated (H)'!$B$4:$H$73,6,0)="ü",2,0))</f>
        <v>2</v>
      </c>
      <c r="BQ54" s="35">
        <f>IF(VLOOKUP($H54,'How the score is generated (H)'!$B$4:$H$73,7,0)="ü",$Q54,0)</f>
        <v>0</v>
      </c>
      <c r="BR54" s="36">
        <f>IF(VLOOKUP($H54,'How the score is generated (H)'!$B$4:$H$73,7,0)="ü",$S54,0)</f>
        <v>0</v>
      </c>
      <c r="BS54" s="145">
        <f>IF(OR($M54=0,$N54=2),0,IF(VLOOKUP($H54,'How the score is generated (H)'!$B$4:$H$73,7,0)="ü",2,0))</f>
        <v>2</v>
      </c>
      <c r="BT54" s="23"/>
      <c r="BU54" s="35">
        <f>IF(VLOOKUP($H54,'How the score is generated (P)'!$B$4:$H$73,2,0)="ü",$Q54,0)</f>
        <v>0</v>
      </c>
      <c r="BV54" s="36">
        <f>IF(VLOOKUP($H54,'How the score is generated (P)'!$B$4:$H$73,2,0)="ü",$S54,0)</f>
        <v>0</v>
      </c>
      <c r="BW54" s="145">
        <f>IF(OR($M54=0,$N54=2),0,IF(VLOOKUP($H54,'How the score is generated (P)'!$B$4:$I$73,2,0)="ü",2,0))</f>
        <v>2</v>
      </c>
      <c r="BX54" s="35">
        <f>IF(VLOOKUP($H54,'How the score is generated (P)'!$B$4:$H$73,3,0)="ü",$Q54,0)</f>
        <v>0</v>
      </c>
      <c r="BY54" s="36">
        <f>IF(VLOOKUP($H54,'How the score is generated (P)'!$B$4:$H$73,3,0)="ü",$S54,0)</f>
        <v>0</v>
      </c>
      <c r="BZ54" s="145">
        <f>IF(OR($M54=0,$N54=2),0,IF(VLOOKUP($H54,'How the score is generated (P)'!$B$4:$I$73,3,0)="ü",2,0))</f>
        <v>0</v>
      </c>
      <c r="CA54" s="35">
        <f>IF(VLOOKUP($H54,'How the score is generated (P)'!$B$4:$H$73,4,0)="ü",$Q54,0)</f>
        <v>0</v>
      </c>
      <c r="CB54" s="36">
        <f>IF(VLOOKUP($H54,'How the score is generated (P)'!$B$4:$H$73,4,0)="ü",$S54,0)</f>
        <v>0</v>
      </c>
      <c r="CC54" s="145">
        <f>IF(OR($M54=0,$N54=2),0,IF(VLOOKUP($H54,'How the score is generated (P)'!$B$4:$I$73,4,0)="ü",2,0))</f>
        <v>2</v>
      </c>
      <c r="CD54" s="35">
        <f>IF(VLOOKUP($H54,'How the score is generated (P)'!$B$4:$H$73,5,0)="ü",$Q54,0)</f>
        <v>0</v>
      </c>
      <c r="CE54" s="36">
        <f>IF(VLOOKUP($H54,'How the score is generated (P)'!$B$4:$H$73,5,0)="ü",$S54,0)</f>
        <v>0</v>
      </c>
      <c r="CF54" s="145">
        <f>IF(OR($M54=0,$N54=2),0,IF(VLOOKUP($H54,'How the score is generated (P)'!$B$4:$I$73,5,0)="ü",2,0))</f>
        <v>2</v>
      </c>
      <c r="CG54" s="35">
        <f>IF(VLOOKUP($H54,'How the score is generated (P)'!$B$4:$H$73,6,0)="ü",$Q54,0)</f>
        <v>0</v>
      </c>
      <c r="CH54" s="36">
        <f>IF(VLOOKUP($H54,'How the score is generated (P)'!$B$4:$H$73,6,0)="ü",$S54,0)</f>
        <v>0</v>
      </c>
      <c r="CI54" s="145">
        <f>IF(OR($M54=0,$N54=2),0,IF(VLOOKUP($H54,'How the score is generated (P)'!$B$4:$I$73,6,0)="ü",2,0))</f>
        <v>0</v>
      </c>
      <c r="CJ54" s="35">
        <f>IF(VLOOKUP($H54,'How the score is generated (P)'!$B$4:$H$73,7,0)="ü",$Q54,0)</f>
        <v>0</v>
      </c>
      <c r="CK54" s="36">
        <f>IF(VLOOKUP($H54,'How the score is generated (P)'!$B$4:$H$73,7,0)="ü",$S54,0)</f>
        <v>0</v>
      </c>
      <c r="CL54" s="145">
        <f>IF(OR($M54=0,$N54=2),0,IF(VLOOKUP($H54,'How the score is generated (P)'!$B$4:$I$73,7,0)="ü",2,0))</f>
        <v>0</v>
      </c>
      <c r="CM54" s="35">
        <f>IF(VLOOKUP($H54,'How the score is generated (P)'!$B$4:$I$73,8,0)="ü",$Q54,0)</f>
        <v>0</v>
      </c>
      <c r="CN54" s="36">
        <f>IF(VLOOKUP($H54,'How the score is generated (P)'!$B$4:$I$73,8,0)="ü",$S54,0)</f>
        <v>0</v>
      </c>
      <c r="CO54" s="239">
        <f>IF(OR($M54=0,$N54=2),0,IF(VLOOKUP($H54,'How the score is generated (P)'!$B$4:$I$73,8,0)="ü",2,0))</f>
        <v>2</v>
      </c>
      <c r="CP54" s="300" t="s">
        <v>1124</v>
      </c>
    </row>
    <row r="55" spans="1:190" ht="104" customHeight="1" thickBot="1" x14ac:dyDescent="0.4">
      <c r="A55" s="23"/>
      <c r="B55" s="76"/>
      <c r="C55" s="69" t="str">
        <f>Validation!$S$6</f>
        <v xml:space="preserve">Group 5. Street environment and design </v>
      </c>
      <c r="D55" s="164">
        <f t="shared" si="29"/>
        <v>36</v>
      </c>
      <c r="E55" s="182" t="s">
        <v>43</v>
      </c>
      <c r="F55" s="186" t="s">
        <v>43</v>
      </c>
      <c r="G55" s="39" t="s">
        <v>1186</v>
      </c>
      <c r="H55" s="41" t="s">
        <v>1189</v>
      </c>
      <c r="I55" s="390" t="s">
        <v>896</v>
      </c>
      <c r="J55" s="382" t="s">
        <v>874</v>
      </c>
      <c r="K55" s="189" t="s">
        <v>983</v>
      </c>
      <c r="L55" s="191" t="s">
        <v>511</v>
      </c>
      <c r="M55" s="170">
        <f>IF(Project!$B$27="Off-Street",0,1)</f>
        <v>1</v>
      </c>
      <c r="N55" s="425">
        <f t="shared" si="22"/>
        <v>0</v>
      </c>
      <c r="O55" s="144"/>
      <c r="P55" s="144"/>
      <c r="Q55" s="441">
        <f>IF(OR($M55=0,$O55="N/A"),"NA",VLOOKUP($O55,Validation!$D$2:$E$7,2,0))</f>
        <v>0</v>
      </c>
      <c r="R55" s="129">
        <f t="shared" si="23"/>
        <v>2</v>
      </c>
      <c r="S55" s="441">
        <f>IF(OR($M55=0,$P55="N/A"),"NA",VLOOKUP($P55,Validation!$D$2:$E$7,2,0))</f>
        <v>0</v>
      </c>
      <c r="T55" s="34">
        <f t="shared" si="24"/>
        <v>2</v>
      </c>
      <c r="U55" s="35">
        <f>IF(VLOOKUP($H55,'How the score is generated'!$B$4:$I$73,2,0)="ü",$Q55,0)</f>
        <v>0</v>
      </c>
      <c r="V55" s="36">
        <f>IF(VLOOKUP($H55,'How the score is generated'!$B$4:$I$73,2,0)="ü",$S55,0)</f>
        <v>0</v>
      </c>
      <c r="W55" s="145">
        <f>IF(OR($M55=0,$N55=2),0,IF(VLOOKUP($H55,'How the score is generated'!$B$4:$I$73,2,0)="ü",2,0))</f>
        <v>2</v>
      </c>
      <c r="X55" s="35">
        <f>IF(VLOOKUP($H55,'How the score is generated'!$B$4:$I$73,3,0)="ü",$Q55,0)</f>
        <v>0</v>
      </c>
      <c r="Y55" s="36">
        <f>IF(VLOOKUP($H55,'How the score is generated'!$B$4:$I$73,3,0)="ü",$S55,0)</f>
        <v>0</v>
      </c>
      <c r="Z55" s="145">
        <f>IF(OR($M55=0,$N55=2),0,IF(VLOOKUP($H55,'How the score is generated'!$B$4:$I$73,3,0)="ü",2,0))</f>
        <v>2</v>
      </c>
      <c r="AA55" s="35">
        <f>IF(VLOOKUP($H55,'How the score is generated'!$B$4:$I$73,4,0)="ü",$Q55,0)</f>
        <v>0</v>
      </c>
      <c r="AB55" s="36">
        <f>IF(VLOOKUP($H55,'How the score is generated'!$B$4:$I$73,4,0)="ü",$S55,0)</f>
        <v>0</v>
      </c>
      <c r="AC55" s="145">
        <f>IF(OR($M55=0,$N55=2),0,IF(VLOOKUP($H55,'How the score is generated'!$B$4:$I$73,4,0)="ü",2,0))</f>
        <v>0</v>
      </c>
      <c r="AD55" s="35">
        <f>IF(VLOOKUP($H55,'How the score is generated'!$B$4:$I$73,5,0)="ü",$Q55,0)</f>
        <v>0</v>
      </c>
      <c r="AE55" s="36">
        <f>IF(VLOOKUP($H55,'How the score is generated'!$B$4:$I$73,5,0)="ü",$S55,0)</f>
        <v>0</v>
      </c>
      <c r="AF55" s="145">
        <f>IF(OR($M55=0,$N55=2),0,IF(VLOOKUP($H55,'How the score is generated'!$B$4:$I$73,5,0)="ü",2,0))</f>
        <v>0</v>
      </c>
      <c r="AG55" s="35">
        <f>IF(VLOOKUP($H55,'How the score is generated'!$B$4:$I$73,6,0)="ü",$Q55,0)</f>
        <v>0</v>
      </c>
      <c r="AH55" s="36">
        <f>IF(VLOOKUP($H55,'How the score is generated'!$B$4:$I$73,6,0)="ü",$S55,0)</f>
        <v>0</v>
      </c>
      <c r="AI55" s="145">
        <f>IF(OR($M55=0,$N55=2),0,IF(VLOOKUP($H55,'How the score is generated'!$B$4:$I$73,6,0)="ü",2,0))</f>
        <v>0</v>
      </c>
      <c r="AJ55" s="35">
        <f>IF(VLOOKUP($H55,'How the score is generated'!$B$4:$I$73,7,0)="ü",$Q55,0)</f>
        <v>0</v>
      </c>
      <c r="AK55" s="36">
        <f>IF(VLOOKUP($H55,'How the score is generated'!$B$4:$I$73,7,0)="ü",$S55,0)</f>
        <v>0</v>
      </c>
      <c r="AL55" s="145">
        <f>IF(OR($M55=0,$N55=2),0,IF(VLOOKUP($H55,'How the score is generated'!$B$4:$I$73,7,0)="ü",2,0))</f>
        <v>0</v>
      </c>
      <c r="AM55" s="35">
        <f>IF(VLOOKUP($H55,'How the score is generated'!$B$4:$I$73,8,0)="ü",$Q55,0)</f>
        <v>0</v>
      </c>
      <c r="AN55" s="36">
        <f>IF(VLOOKUP($H55,'How the score is generated'!$B$4:$I$73,8,0)="ü",$S55,0)</f>
        <v>0</v>
      </c>
      <c r="AO55" s="145">
        <f>IF(OR($M55=0,$N55=2),0,IF(VLOOKUP($H55,'How the score is generated'!$B$4:$I$73,8,0)="ü",2,0))</f>
        <v>2</v>
      </c>
      <c r="AP55" s="23"/>
      <c r="AQ55" s="404" t="s">
        <v>1126</v>
      </c>
      <c r="AR55" s="23"/>
      <c r="AS55" s="381"/>
      <c r="AW55" s="34" t="s">
        <v>177</v>
      </c>
      <c r="AX55" s="34" t="str">
        <f t="shared" si="25"/>
        <v>Residual Amber</v>
      </c>
      <c r="AY55" s="34" t="str">
        <f t="shared" si="26"/>
        <v/>
      </c>
      <c r="AZ55" s="34" t="str">
        <f t="shared" si="27"/>
        <v/>
      </c>
      <c r="BA55" s="34" t="str">
        <f t="shared" si="28"/>
        <v>36. Functionality of green and blue infrastructure in providing resilience to extreme weather events</v>
      </c>
      <c r="BB55" s="35">
        <f>IF(VLOOKUP($H55,'How the score is generated (H)'!$B$4:$H$73,2,0)="ü",$Q55,0)</f>
        <v>0</v>
      </c>
      <c r="BC55" s="36">
        <f>IF(VLOOKUP($H55,'How the score is generated (H)'!$B$4:$H$73,2,0)="ü",$S55,0)</f>
        <v>0</v>
      </c>
      <c r="BD55" s="145">
        <f>IF(OR($M55=0,$N55=2),0,IF(VLOOKUP($H55,'How the score is generated (H)'!$B$4:$H$73,2,0)="ü",2,0))</f>
        <v>0</v>
      </c>
      <c r="BE55" s="35">
        <f>IF(VLOOKUP($H55,'How the score is generated (H)'!$B$4:$H$73,3,0)="ü",$Q55,0)</f>
        <v>0</v>
      </c>
      <c r="BF55" s="36">
        <f>IF(VLOOKUP($H55,'How the score is generated (H)'!$B$4:$H$73,3,0)="ü",$S55,0)</f>
        <v>0</v>
      </c>
      <c r="BG55" s="145">
        <f>IF(OR($M55=0,$N55=2),0,IF(VLOOKUP($H55,'How the score is generated (H)'!$B$4:$H$73,3,0)="ü",2,0))</f>
        <v>0</v>
      </c>
      <c r="BH55" s="35">
        <f>IF(VLOOKUP($H55,'How the score is generated (H)'!$B$4:$H$73,4,0)="ü",$Q55,0)</f>
        <v>0</v>
      </c>
      <c r="BI55" s="36">
        <f>IF(VLOOKUP($H55,'How the score is generated (H)'!$B$4:$H$73,4,0)="ü",$S55,0)</f>
        <v>0</v>
      </c>
      <c r="BJ55" s="145">
        <f>IF(OR($M55=0,$N55=2),0,IF(VLOOKUP($H55,'How the score is generated (H)'!$B$4:$H$73,4,0)="ü",2,0))</f>
        <v>0</v>
      </c>
      <c r="BK55" s="35">
        <f>IF(VLOOKUP($H55,'How the score is generated (H)'!$B$4:$H$73,5,0)="ü",$Q55,0)</f>
        <v>0</v>
      </c>
      <c r="BL55" s="36">
        <f>IF(VLOOKUP($H55,'How the score is generated (H)'!$B$4:$H$73,5,0)="ü",$S55,0)</f>
        <v>0</v>
      </c>
      <c r="BM55" s="145">
        <f>IF(OR($M55=0,$N55=2),0,IF(VLOOKUP($H55,'How the score is generated (H)'!$B$4:$H$73,5,0)="ü",2,0))</f>
        <v>0</v>
      </c>
      <c r="BN55" s="35">
        <f>IF(VLOOKUP($H55,'How the score is generated (H)'!$B$4:$H$73,6,0)="ü",$Q55,0)</f>
        <v>0</v>
      </c>
      <c r="BO55" s="36">
        <f>IF(VLOOKUP($H55,'How the score is generated (H)'!$B$4:$H$73,6,0)="ü",$S55,0)</f>
        <v>0</v>
      </c>
      <c r="BP55" s="145">
        <f>IF(OR($M55=0,$N55=2),0,IF(VLOOKUP($H55,'How the score is generated (H)'!$B$4:$H$73,6,0)="ü",2,0))</f>
        <v>0</v>
      </c>
      <c r="BQ55" s="35">
        <f>IF(VLOOKUP($H55,'How the score is generated (H)'!$B$4:$H$73,7,0)="ü",$Q55,0)</f>
        <v>0</v>
      </c>
      <c r="BR55" s="36">
        <f>IF(VLOOKUP($H55,'How the score is generated (H)'!$B$4:$H$73,7,0)="ü",$S55,0)</f>
        <v>0</v>
      </c>
      <c r="BS55" s="145">
        <f>IF(OR($M55=0,$N55=2),0,IF(VLOOKUP($H55,'How the score is generated (H)'!$B$4:$H$73,7,0)="ü",2,0))</f>
        <v>0</v>
      </c>
      <c r="BT55" s="23"/>
      <c r="BU55" s="35">
        <f>IF(VLOOKUP($H55,'How the score is generated (P)'!$B$4:$H$73,2,0)="ü",$Q55,0)</f>
        <v>0</v>
      </c>
      <c r="BV55" s="36">
        <f>IF(VLOOKUP($H55,'How the score is generated (P)'!$B$4:$H$73,2,0)="ü",$S55,0)</f>
        <v>0</v>
      </c>
      <c r="BW55" s="145">
        <f>IF(OR($M55=0,$N55=2),0,IF(VLOOKUP($H55,'How the score is generated (P)'!$B$4:$I$73,2,0)="ü",2,0))</f>
        <v>0</v>
      </c>
      <c r="BX55" s="35">
        <f>IF(VLOOKUP($H55,'How the score is generated (P)'!$B$4:$H$73,3,0)="ü",$Q55,0)</f>
        <v>0</v>
      </c>
      <c r="BY55" s="36">
        <f>IF(VLOOKUP($H55,'How the score is generated (P)'!$B$4:$H$73,3,0)="ü",$S55,0)</f>
        <v>0</v>
      </c>
      <c r="BZ55" s="145">
        <f>IF(OR($M55=0,$N55=2),0,IF(VLOOKUP($H55,'How the score is generated (P)'!$B$4:$I$73,3,0)="ü",2,0))</f>
        <v>0</v>
      </c>
      <c r="CA55" s="35">
        <f>IF(VLOOKUP($H55,'How the score is generated (P)'!$B$4:$H$73,4,0)="ü",$Q55,0)</f>
        <v>0</v>
      </c>
      <c r="CB55" s="36">
        <f>IF(VLOOKUP($H55,'How the score is generated (P)'!$B$4:$H$73,4,0)="ü",$S55,0)</f>
        <v>0</v>
      </c>
      <c r="CC55" s="145">
        <f>IF(OR($M55=0,$N55=2),0,IF(VLOOKUP($H55,'How the score is generated (P)'!$B$4:$I$73,4,0)="ü",2,0))</f>
        <v>0</v>
      </c>
      <c r="CD55" s="35">
        <f>IF(VLOOKUP($H55,'How the score is generated (P)'!$B$4:$H$73,5,0)="ü",$Q55,0)</f>
        <v>0</v>
      </c>
      <c r="CE55" s="36">
        <f>IF(VLOOKUP($H55,'How the score is generated (P)'!$B$4:$H$73,5,0)="ü",$S55,0)</f>
        <v>0</v>
      </c>
      <c r="CF55" s="145">
        <f>IF(OR($M55=0,$N55=2),0,IF(VLOOKUP($H55,'How the score is generated (P)'!$B$4:$I$73,5,0)="ü",2,0))</f>
        <v>0</v>
      </c>
      <c r="CG55" s="35">
        <f>IF(VLOOKUP($H55,'How the score is generated (P)'!$B$4:$H$73,6,0)="ü",$Q55,0)</f>
        <v>0</v>
      </c>
      <c r="CH55" s="36">
        <f>IF(VLOOKUP($H55,'How the score is generated (P)'!$B$4:$H$73,6,0)="ü",$S55,0)</f>
        <v>0</v>
      </c>
      <c r="CI55" s="145">
        <f>IF(OR($M55=0,$N55=2),0,IF(VLOOKUP($H55,'How the score is generated (P)'!$B$4:$I$73,6,0)="ü",2,0))</f>
        <v>0</v>
      </c>
      <c r="CJ55" s="35">
        <f>IF(VLOOKUP($H55,'How the score is generated (P)'!$B$4:$H$73,7,0)="ü",$Q55,0)</f>
        <v>0</v>
      </c>
      <c r="CK55" s="36">
        <f>IF(VLOOKUP($H55,'How the score is generated (P)'!$B$4:$H$73,7,0)="ü",$S55,0)</f>
        <v>0</v>
      </c>
      <c r="CL55" s="145">
        <f>IF(OR($M55=0,$N55=2),0,IF(VLOOKUP($H55,'How the score is generated (P)'!$B$4:$I$73,7,0)="ü",2,0))</f>
        <v>0</v>
      </c>
      <c r="CM55" s="35">
        <f>IF(VLOOKUP($H55,'How the score is generated (P)'!$B$4:$I$73,8,0)="ü",$Q55,0)</f>
        <v>0</v>
      </c>
      <c r="CN55" s="36">
        <f>IF(VLOOKUP($H55,'How the score is generated (P)'!$B$4:$I$73,8,0)="ü",$S55,0)</f>
        <v>0</v>
      </c>
      <c r="CO55" s="239">
        <f>IF(OR($M55=0,$N55=2),0,IF(VLOOKUP($H55,'How the score is generated (P)'!$B$4:$I$73,8,0)="ü",2,0))</f>
        <v>0</v>
      </c>
      <c r="CP55" s="300" t="s">
        <v>1125</v>
      </c>
    </row>
    <row r="56" spans="1:190" ht="116.5" customHeight="1" thickBot="1" x14ac:dyDescent="0.4">
      <c r="A56" s="23"/>
      <c r="B56" s="76"/>
      <c r="C56" s="69" t="str">
        <f>Validation!$S$6</f>
        <v xml:space="preserve">Group 5. Street environment and design </v>
      </c>
      <c r="D56" s="164">
        <f t="shared" si="29"/>
        <v>37</v>
      </c>
      <c r="E56" s="182" t="s">
        <v>43</v>
      </c>
      <c r="F56" s="186" t="s">
        <v>43</v>
      </c>
      <c r="G56" s="39" t="s">
        <v>1235</v>
      </c>
      <c r="H56" s="41" t="s">
        <v>1236</v>
      </c>
      <c r="I56" s="390" t="s">
        <v>896</v>
      </c>
      <c r="J56" s="382" t="s">
        <v>1237</v>
      </c>
      <c r="K56" s="189" t="s">
        <v>1252</v>
      </c>
      <c r="L56" s="191" t="s">
        <v>1238</v>
      </c>
      <c r="M56" s="170">
        <f>IF(Project!$B$27="Off-Street",0,1)</f>
        <v>1</v>
      </c>
      <c r="N56" s="425">
        <f t="shared" si="22"/>
        <v>0</v>
      </c>
      <c r="O56" s="144"/>
      <c r="P56" s="144"/>
      <c r="Q56" s="441">
        <f>IF(OR($M56=0,$O56="N/A"),"NA",VLOOKUP($O56,Validation!$D$2:$E$7,2,0))</f>
        <v>0</v>
      </c>
      <c r="R56" s="129">
        <f t="shared" si="23"/>
        <v>2</v>
      </c>
      <c r="S56" s="441">
        <f>IF(OR($M56=0,$P56="N/A"),"NA",VLOOKUP($P56,Validation!$D$2:$E$7,2,0))</f>
        <v>0</v>
      </c>
      <c r="T56" s="34">
        <f t="shared" si="24"/>
        <v>2</v>
      </c>
      <c r="U56" s="35">
        <f>IF(VLOOKUP($H56,'How the score is generated'!$B$4:$I$73,2,0)="ü",$Q56,0)</f>
        <v>0</v>
      </c>
      <c r="V56" s="36">
        <f>IF(VLOOKUP($H56,'How the score is generated'!$B$4:$I$73,2,0)="ü",$S56,0)</f>
        <v>0</v>
      </c>
      <c r="W56" s="145">
        <f>IF(OR($M56=0,$N56=2),0,IF(VLOOKUP($H56,'How the score is generated'!$B$4:$I$73,2,0)="ü",2,0))</f>
        <v>2</v>
      </c>
      <c r="X56" s="35">
        <f>IF(VLOOKUP($H56,'How the score is generated'!$B$4:$I$73,3,0)="ü",$Q56,0)</f>
        <v>0</v>
      </c>
      <c r="Y56" s="36">
        <f>IF(VLOOKUP($H56,'How the score is generated'!$B$4:$I$73,3,0)="ü",$S56,0)</f>
        <v>0</v>
      </c>
      <c r="Z56" s="145">
        <f>IF(OR($M56=0,$N56=2),0,IF(VLOOKUP($H56,'How the score is generated'!$B$4:$I$73,3,0)="ü",2,0))</f>
        <v>2</v>
      </c>
      <c r="AA56" s="35">
        <f>IF(VLOOKUP($H56,'How the score is generated'!$B$4:$I$73,4,0)="ü",$Q56,0)</f>
        <v>0</v>
      </c>
      <c r="AB56" s="36">
        <f>IF(VLOOKUP($H56,'How the score is generated'!$B$4:$I$73,4,0)="ü",$S56,0)</f>
        <v>0</v>
      </c>
      <c r="AC56" s="145">
        <f>IF(OR($M56=0,$N56=2),0,IF(VLOOKUP($H56,'How the score is generated'!$B$4:$I$73,4,0)="ü",2,0))</f>
        <v>0</v>
      </c>
      <c r="AD56" s="35">
        <f>IF(VLOOKUP($H56,'How the score is generated'!$B$4:$I$73,5,0)="ü",$Q56,0)</f>
        <v>0</v>
      </c>
      <c r="AE56" s="36">
        <f>IF(VLOOKUP($H56,'How the score is generated'!$B$4:$I$73,5,0)="ü",$S56,0)</f>
        <v>0</v>
      </c>
      <c r="AF56" s="145">
        <f>IF(OR($M56=0,$N56=2),0,IF(VLOOKUP($H56,'How the score is generated'!$B$4:$I$73,5,0)="ü",2,0))</f>
        <v>0</v>
      </c>
      <c r="AG56" s="35">
        <f>IF(VLOOKUP($H56,'How the score is generated'!$B$4:$I$73,6,0)="ü",$Q56,0)</f>
        <v>0</v>
      </c>
      <c r="AH56" s="36">
        <f>IF(VLOOKUP($H56,'How the score is generated'!$B$4:$I$73,6,0)="ü",$S56,0)</f>
        <v>0</v>
      </c>
      <c r="AI56" s="145">
        <f>IF(OR($M56=0,$N56=2),0,IF(VLOOKUP($H56,'How the score is generated'!$B$4:$I$73,6,0)="ü",2,0))</f>
        <v>0</v>
      </c>
      <c r="AJ56" s="35">
        <f>IF(VLOOKUP($H56,'How the score is generated'!$B$4:$I$73,7,0)="ü",$Q56,0)</f>
        <v>0</v>
      </c>
      <c r="AK56" s="36">
        <f>IF(VLOOKUP($H56,'How the score is generated'!$B$4:$I$73,7,0)="ü",$S56,0)</f>
        <v>0</v>
      </c>
      <c r="AL56" s="145">
        <f>IF(OR($M56=0,$N56=2),0,IF(VLOOKUP($H56,'How the score is generated'!$B$4:$I$73,7,0)="ü",2,0))</f>
        <v>0</v>
      </c>
      <c r="AM56" s="35">
        <f>IF(VLOOKUP($H56,'How the score is generated'!$B$4:$I$73,8,0)="ü",$Q56,0)</f>
        <v>0</v>
      </c>
      <c r="AN56" s="36">
        <f>IF(VLOOKUP($H56,'How the score is generated'!$B$4:$I$73,8,0)="ü",$S56,0)</f>
        <v>0</v>
      </c>
      <c r="AO56" s="145">
        <f>IF(OR($M56=0,$N56=2),0,IF(VLOOKUP($H56,'How the score is generated'!$B$4:$I$73,8,0)="ü",2,0))</f>
        <v>0</v>
      </c>
      <c r="AP56" s="23"/>
      <c r="AQ56" s="404" t="s">
        <v>1247</v>
      </c>
      <c r="AR56" s="23"/>
      <c r="AS56" s="381"/>
      <c r="AW56" s="34"/>
      <c r="AX56" s="34" t="str">
        <f t="shared" si="25"/>
        <v/>
      </c>
      <c r="AY56" s="34" t="str">
        <f t="shared" si="26"/>
        <v/>
      </c>
      <c r="AZ56" s="34" t="str">
        <f t="shared" si="27"/>
        <v/>
      </c>
      <c r="BA56" s="34" t="str">
        <f t="shared" si="28"/>
        <v>37. Type of surfacing appropriate to context</v>
      </c>
      <c r="BB56" s="35">
        <f>IF(VLOOKUP($H56,'How the score is generated (H)'!$B$4:$H$73,2,0)="ü",$Q56,0)</f>
        <v>0</v>
      </c>
      <c r="BC56" s="36">
        <f>IF(VLOOKUP($H56,'How the score is generated (H)'!$B$4:$H$73,2,0)="ü",$S56,0)</f>
        <v>0</v>
      </c>
      <c r="BD56" s="145">
        <f>IF(OR($M56=0,$N56=2),0,IF(VLOOKUP($H56,'How the score is generated (H)'!$B$4:$H$73,2,0)="ü",2,0))</f>
        <v>2</v>
      </c>
      <c r="BE56" s="35">
        <f>IF(VLOOKUP($H56,'How the score is generated (H)'!$B$4:$H$73,3,0)="ü",$Q56,0)</f>
        <v>0</v>
      </c>
      <c r="BF56" s="36">
        <f>IF(VLOOKUP($H56,'How the score is generated (H)'!$B$4:$H$73,3,0)="ü",$S56,0)</f>
        <v>0</v>
      </c>
      <c r="BG56" s="145">
        <f>IF(OR($M56=0,$N56=2),0,IF(VLOOKUP($H56,'How the score is generated (H)'!$B$4:$H$73,3,0)="ü",2,0))</f>
        <v>2</v>
      </c>
      <c r="BH56" s="35">
        <f>IF(VLOOKUP($H56,'How the score is generated (H)'!$B$4:$H$73,4,0)="ü",$Q56,0)</f>
        <v>0</v>
      </c>
      <c r="BI56" s="36">
        <f>IF(VLOOKUP($H56,'How the score is generated (H)'!$B$4:$H$73,4,0)="ü",$S56,0)</f>
        <v>0</v>
      </c>
      <c r="BJ56" s="145">
        <f>IF(OR($M56=0,$N56=2),0,IF(VLOOKUP($H56,'How the score is generated (H)'!$B$4:$H$73,4,0)="ü",2,0))</f>
        <v>2</v>
      </c>
      <c r="BK56" s="35">
        <f>IF(VLOOKUP($H56,'How the score is generated (H)'!$B$4:$H$73,5,0)="ü",$Q56,0)</f>
        <v>0</v>
      </c>
      <c r="BL56" s="36">
        <f>IF(VLOOKUP($H56,'How the score is generated (H)'!$B$4:$H$73,5,0)="ü",$S56,0)</f>
        <v>0</v>
      </c>
      <c r="BM56" s="145">
        <f>IF(OR($M56=0,$N56=2),0,IF(VLOOKUP($H56,'How the score is generated (H)'!$B$4:$H$73,5,0)="ü",2,0))</f>
        <v>2</v>
      </c>
      <c r="BN56" s="35">
        <f>IF(VLOOKUP($H56,'How the score is generated (H)'!$B$4:$H$73,6,0)="ü",$Q56,0)</f>
        <v>0</v>
      </c>
      <c r="BO56" s="36">
        <f>IF(VLOOKUP($H56,'How the score is generated (H)'!$B$4:$H$73,6,0)="ü",$S56,0)</f>
        <v>0</v>
      </c>
      <c r="BP56" s="145">
        <f>IF(OR($M56=0,$N56=2),0,IF(VLOOKUP($H56,'How the score is generated (H)'!$B$4:$H$73,6,0)="ü",2,0))</f>
        <v>2</v>
      </c>
      <c r="BQ56" s="35">
        <f>IF(VLOOKUP($H56,'How the score is generated (H)'!$B$4:$H$73,7,0)="ü",$Q56,0)</f>
        <v>0</v>
      </c>
      <c r="BR56" s="36">
        <f>IF(VLOOKUP($H56,'How the score is generated (H)'!$B$4:$H$73,7,0)="ü",$S56,0)</f>
        <v>0</v>
      </c>
      <c r="BS56" s="145">
        <f>IF(OR($M56=0,$N56=2),0,IF(VLOOKUP($H56,'How the score is generated (H)'!$B$4:$H$73,7,0)="ü",2,0))</f>
        <v>2</v>
      </c>
      <c r="BT56" s="23"/>
      <c r="BU56" s="35">
        <f>IF(VLOOKUP($H56,'How the score is generated (P)'!$B$4:$H$73,2,0)="ü",$Q56,0)</f>
        <v>0</v>
      </c>
      <c r="BV56" s="36">
        <f>IF(VLOOKUP($H56,'How the score is generated (P)'!$B$4:$H$73,2,0)="ü",$S56,0)</f>
        <v>0</v>
      </c>
      <c r="BW56" s="145">
        <f>IF(OR($M56=0,$N56=2),0,IF(VLOOKUP($H56,'How the score is generated (P)'!$B$4:$I$73,2,0)="ü",2,0))</f>
        <v>2</v>
      </c>
      <c r="BX56" s="35">
        <f>IF(VLOOKUP($H56,'How the score is generated (P)'!$B$4:$H$73,3,0)="ü",$Q56,0)</f>
        <v>0</v>
      </c>
      <c r="BY56" s="36">
        <f>IF(VLOOKUP($H56,'How the score is generated (P)'!$B$4:$H$73,3,0)="ü",$S56,0)</f>
        <v>0</v>
      </c>
      <c r="BZ56" s="145">
        <f>IF(OR($M56=0,$N56=2),0,IF(VLOOKUP($H56,'How the score is generated (P)'!$B$4:$I$73,3,0)="ü",2,0))</f>
        <v>0</v>
      </c>
      <c r="CA56" s="35">
        <f>IF(VLOOKUP($H56,'How the score is generated (P)'!$B$4:$H$73,4,0)="ü",$Q56,0)</f>
        <v>0</v>
      </c>
      <c r="CB56" s="36">
        <f>IF(VLOOKUP($H56,'How the score is generated (P)'!$B$4:$H$73,4,0)="ü",$S56,0)</f>
        <v>0</v>
      </c>
      <c r="CC56" s="145">
        <f>IF(OR($M56=0,$N56=2),0,IF(VLOOKUP($H56,'How the score is generated (P)'!$B$4:$I$73,4,0)="ü",2,0))</f>
        <v>0</v>
      </c>
      <c r="CD56" s="35">
        <f>IF(VLOOKUP($H56,'How the score is generated (P)'!$B$4:$H$73,5,0)="ü",$Q56,0)</f>
        <v>0</v>
      </c>
      <c r="CE56" s="36">
        <f>IF(VLOOKUP($H56,'How the score is generated (P)'!$B$4:$H$73,5,0)="ü",$S56,0)</f>
        <v>0</v>
      </c>
      <c r="CF56" s="145">
        <f>IF(OR($M56=0,$N56=2),0,IF(VLOOKUP($H56,'How the score is generated (P)'!$B$4:$I$73,5,0)="ü",2,0))</f>
        <v>2</v>
      </c>
      <c r="CG56" s="35">
        <f>IF(VLOOKUP($H56,'How the score is generated (P)'!$B$4:$H$73,6,0)="ü",$Q56,0)</f>
        <v>0</v>
      </c>
      <c r="CH56" s="36">
        <f>IF(VLOOKUP($H56,'How the score is generated (P)'!$B$4:$H$73,6,0)="ü",$S56,0)</f>
        <v>0</v>
      </c>
      <c r="CI56" s="145">
        <f>IF(OR($M56=0,$N56=2),0,IF(VLOOKUP($H56,'How the score is generated (P)'!$B$4:$I$73,6,0)="ü",2,0))</f>
        <v>2</v>
      </c>
      <c r="CJ56" s="35">
        <f>IF(VLOOKUP($H56,'How the score is generated (P)'!$B$4:$H$73,7,0)="ü",$Q56,0)</f>
        <v>0</v>
      </c>
      <c r="CK56" s="36">
        <f>IF(VLOOKUP($H56,'How the score is generated (P)'!$B$4:$H$73,7,0)="ü",$S56,0)</f>
        <v>0</v>
      </c>
      <c r="CL56" s="145">
        <f>IF(OR($M56=0,$N56=2),0,IF(VLOOKUP($H56,'How the score is generated (P)'!$B$4:$I$73,7,0)="ü",2,0))</f>
        <v>2</v>
      </c>
      <c r="CM56" s="35">
        <f>IF(VLOOKUP($H56,'How the score is generated (P)'!$B$4:$I$73,8,0)="ü",$Q56,0)</f>
        <v>0</v>
      </c>
      <c r="CN56" s="36">
        <f>IF(VLOOKUP($H56,'How the score is generated (P)'!$B$4:$I$73,8,0)="ü",$S56,0)</f>
        <v>0</v>
      </c>
      <c r="CO56" s="239">
        <f>IF(OR($M56=0,$N56=2),0,IF(VLOOKUP($H56,'How the score is generated (P)'!$B$4:$I$73,8,0)="ü",2,0))</f>
        <v>2</v>
      </c>
      <c r="CP56" s="300" t="s">
        <v>1128</v>
      </c>
    </row>
    <row r="57" spans="1:190" ht="103.5" customHeight="1" thickBot="1" x14ac:dyDescent="0.4">
      <c r="A57" s="23"/>
      <c r="B57" s="76"/>
      <c r="C57" s="69" t="str">
        <f>Validation!$S$6</f>
        <v xml:space="preserve">Group 5. Street environment and design </v>
      </c>
      <c r="D57" s="164">
        <f>D56+1</f>
        <v>38</v>
      </c>
      <c r="E57" s="44" t="s">
        <v>39</v>
      </c>
      <c r="F57" s="198" t="s">
        <v>43</v>
      </c>
      <c r="G57" s="39" t="s">
        <v>1190</v>
      </c>
      <c r="H57" s="41" t="s">
        <v>875</v>
      </c>
      <c r="I57" s="390" t="s">
        <v>896</v>
      </c>
      <c r="J57" s="41" t="s">
        <v>876</v>
      </c>
      <c r="K57" s="41" t="s">
        <v>877</v>
      </c>
      <c r="L57" s="42" t="s">
        <v>1230</v>
      </c>
      <c r="M57" s="170">
        <f>IF(Project!$B$27="Off-Street",0,1)</f>
        <v>1</v>
      </c>
      <c r="N57" s="425">
        <f t="shared" si="22"/>
        <v>0</v>
      </c>
      <c r="O57" s="144"/>
      <c r="P57" s="144"/>
      <c r="Q57" s="441">
        <f>IF(OR($M57=0,$O57="N/A"),"NA",VLOOKUP($O57,Validation!$D$2:$E$7,2,0))</f>
        <v>0</v>
      </c>
      <c r="R57" s="129">
        <f t="shared" si="23"/>
        <v>2</v>
      </c>
      <c r="S57" s="441">
        <f>IF(OR($M57=0,$P57="N/A"),"NA",VLOOKUP($P57,Validation!$D$2:$E$7,2,0))</f>
        <v>0</v>
      </c>
      <c r="T57" s="34">
        <f t="shared" si="24"/>
        <v>2</v>
      </c>
      <c r="U57" s="35">
        <f>IF(VLOOKUP($H57,'How the score is generated'!$B$4:$I$73,2,0)="ü",$Q57,0)</f>
        <v>0</v>
      </c>
      <c r="V57" s="36">
        <f>IF(VLOOKUP($H57,'How the score is generated'!$B$4:$I$73,2,0)="ü",$S57,0)</f>
        <v>0</v>
      </c>
      <c r="W57" s="145">
        <f>IF(OR($M57=0,$N57=2),0,IF(VLOOKUP($H57,'How the score is generated'!$B$4:$I$73,2,0)="ü",2,0))</f>
        <v>0</v>
      </c>
      <c r="X57" s="35">
        <f>IF(VLOOKUP($H57,'How the score is generated'!$B$4:$I$73,3,0)="ü",$Q57,0)</f>
        <v>0</v>
      </c>
      <c r="Y57" s="36">
        <f>IF(VLOOKUP($H57,'How the score is generated'!$B$4:$I$73,3,0)="ü",$S57,0)</f>
        <v>0</v>
      </c>
      <c r="Z57" s="145">
        <f>IF(OR($M57=0,$N57=2),0,IF(VLOOKUP($H57,'How the score is generated'!$B$4:$I$73,3,0)="ü",2,0))</f>
        <v>2</v>
      </c>
      <c r="AA57" s="35">
        <f>IF(VLOOKUP($H57,'How the score is generated'!$B$4:$I$73,4,0)="ü",$Q57,0)</f>
        <v>0</v>
      </c>
      <c r="AB57" s="36">
        <f>IF(VLOOKUP($H57,'How the score is generated'!$B$4:$I$73,4,0)="ü",$S57,0)</f>
        <v>0</v>
      </c>
      <c r="AC57" s="145">
        <f>IF(OR($M57=0,$N57=2),0,IF(VLOOKUP($H57,'How the score is generated'!$B$4:$I$73,4,0)="ü",2,0))</f>
        <v>0</v>
      </c>
      <c r="AD57" s="35">
        <f>IF(VLOOKUP($H57,'How the score is generated'!$B$4:$I$73,5,0)="ü",$Q57,0)</f>
        <v>0</v>
      </c>
      <c r="AE57" s="36">
        <f>IF(VLOOKUP($H57,'How the score is generated'!$B$4:$I$73,5,0)="ü",$S57,0)</f>
        <v>0</v>
      </c>
      <c r="AF57" s="145">
        <f>IF(OR($M57=0,$N57=2),0,IF(VLOOKUP($H57,'How the score is generated'!$B$4:$I$73,5,0)="ü",2,0))</f>
        <v>0</v>
      </c>
      <c r="AG57" s="35">
        <f>IF(VLOOKUP($H57,'How the score is generated'!$B$4:$I$73,6,0)="ü",$Q57,0)</f>
        <v>0</v>
      </c>
      <c r="AH57" s="36">
        <f>IF(VLOOKUP($H57,'How the score is generated'!$B$4:$I$73,6,0)="ü",$S57,0)</f>
        <v>0</v>
      </c>
      <c r="AI57" s="145">
        <f>IF(OR($M57=0,$N57=2),0,IF(VLOOKUP($H57,'How the score is generated'!$B$4:$I$73,6,0)="ü",2,0))</f>
        <v>0</v>
      </c>
      <c r="AJ57" s="35">
        <f>IF(VLOOKUP($H57,'How the score is generated'!$B$4:$I$73,7,0)="ü",$Q57,0)</f>
        <v>0</v>
      </c>
      <c r="AK57" s="36">
        <f>IF(VLOOKUP($H57,'How the score is generated'!$B$4:$I$73,7,0)="ü",$S57,0)</f>
        <v>0</v>
      </c>
      <c r="AL57" s="145">
        <f>IF(OR($M57=0,$N57=2),0,IF(VLOOKUP($H57,'How the score is generated'!$B$4:$I$73,7,0)="ü",2,0))</f>
        <v>0</v>
      </c>
      <c r="AM57" s="35">
        <f>IF(VLOOKUP($H57,'How the score is generated'!$B$4:$I$73,8,0)="ü",$Q57,0)</f>
        <v>0</v>
      </c>
      <c r="AN57" s="36">
        <f>IF(VLOOKUP($H57,'How the score is generated'!$B$4:$I$73,8,0)="ü",$S57,0)</f>
        <v>0</v>
      </c>
      <c r="AO57" s="145">
        <f>IF(OR($M57=0,$N57=2),0,IF(VLOOKUP($H57,'How the score is generated'!$B$4:$I$73,8,0)="ü",2,0))</f>
        <v>0</v>
      </c>
      <c r="AP57" s="23"/>
      <c r="AQ57" s="404"/>
      <c r="AR57" s="23"/>
      <c r="AS57" s="381"/>
      <c r="AW57" s="34"/>
      <c r="AX57" s="34" t="str">
        <f t="shared" si="25"/>
        <v/>
      </c>
      <c r="AY57" s="34" t="str">
        <f t="shared" si="26"/>
        <v/>
      </c>
      <c r="AZ57" s="34" t="str">
        <f t="shared" si="27"/>
        <v/>
      </c>
      <c r="BA57" s="34" t="str">
        <f t="shared" si="28"/>
        <v>38. Permeability and legibility for walking, wheeling and cycling</v>
      </c>
      <c r="BB57" s="35">
        <f>IF(VLOOKUP($H57,'How the score is generated (H)'!$B$4:$H$73,2,0)="ü",$Q57,0)</f>
        <v>0</v>
      </c>
      <c r="BC57" s="36">
        <f>IF(VLOOKUP($H57,'How the score is generated (H)'!$B$4:$H$73,2,0)="ü",$S57,0)</f>
        <v>0</v>
      </c>
      <c r="BD57" s="145">
        <f>IF(OR($M57=0,$N57=2),0,IF(VLOOKUP($H57,'How the score is generated (H)'!$B$4:$H$73,2,0)="ü",2,0))</f>
        <v>2</v>
      </c>
      <c r="BE57" s="35">
        <f>IF(VLOOKUP($H57,'How the score is generated (H)'!$B$4:$H$73,3,0)="ü",$Q57,0)</f>
        <v>0</v>
      </c>
      <c r="BF57" s="36">
        <f>IF(VLOOKUP($H57,'How the score is generated (H)'!$B$4:$H$73,3,0)="ü",$S57,0)</f>
        <v>0</v>
      </c>
      <c r="BG57" s="145">
        <f>IF(OR($M57=0,$N57=2),0,IF(VLOOKUP($H57,'How the score is generated (H)'!$B$4:$H$73,3,0)="ü",2,0))</f>
        <v>2</v>
      </c>
      <c r="BH57" s="35">
        <f>IF(VLOOKUP($H57,'How the score is generated (H)'!$B$4:$H$73,4,0)="ü",$Q57,0)</f>
        <v>0</v>
      </c>
      <c r="BI57" s="36">
        <f>IF(VLOOKUP($H57,'How the score is generated (H)'!$B$4:$H$73,4,0)="ü",$S57,0)</f>
        <v>0</v>
      </c>
      <c r="BJ57" s="145">
        <f>IF(OR($M57=0,$N57=2),0,IF(VLOOKUP($H57,'How the score is generated (H)'!$B$4:$H$73,4,0)="ü",2,0))</f>
        <v>2</v>
      </c>
      <c r="BK57" s="35">
        <f>IF(VLOOKUP($H57,'How the score is generated (H)'!$B$4:$H$73,5,0)="ü",$Q57,0)</f>
        <v>0</v>
      </c>
      <c r="BL57" s="36">
        <f>IF(VLOOKUP($H57,'How the score is generated (H)'!$B$4:$H$73,5,0)="ü",$S57,0)</f>
        <v>0</v>
      </c>
      <c r="BM57" s="145">
        <f>IF(OR($M57=0,$N57=2),0,IF(VLOOKUP($H57,'How the score is generated (H)'!$B$4:$H$73,5,0)="ü",2,0))</f>
        <v>0</v>
      </c>
      <c r="BN57" s="35">
        <f>IF(VLOOKUP($H57,'How the score is generated (H)'!$B$4:$H$73,6,0)="ü",$Q57,0)</f>
        <v>0</v>
      </c>
      <c r="BO57" s="36">
        <f>IF(VLOOKUP($H57,'How the score is generated (H)'!$B$4:$H$73,6,0)="ü",$S57,0)</f>
        <v>0</v>
      </c>
      <c r="BP57" s="145">
        <f>IF(OR($M57=0,$N57=2),0,IF(VLOOKUP($H57,'How the score is generated (H)'!$B$4:$H$73,6,0)="ü",2,0))</f>
        <v>2</v>
      </c>
      <c r="BQ57" s="35">
        <f>IF(VLOOKUP($H57,'How the score is generated (H)'!$B$4:$H$73,7,0)="ü",$Q57,0)</f>
        <v>0</v>
      </c>
      <c r="BR57" s="36">
        <f>IF(VLOOKUP($H57,'How the score is generated (H)'!$B$4:$H$73,7,0)="ü",$S57,0)</f>
        <v>0</v>
      </c>
      <c r="BS57" s="145">
        <f>IF(OR($M57=0,$N57=2),0,IF(VLOOKUP($H57,'How the score is generated (H)'!$B$4:$H$73,7,0)="ü",2,0))</f>
        <v>2</v>
      </c>
      <c r="BT57" s="23"/>
      <c r="BU57" s="35">
        <f>IF(VLOOKUP($H57,'How the score is generated (P)'!$B$4:$H$73,2,0)="ü",$Q57,0)</f>
        <v>0</v>
      </c>
      <c r="BV57" s="36">
        <f>IF(VLOOKUP($H57,'How the score is generated (P)'!$B$4:$H$73,2,0)="ü",$S57,0)</f>
        <v>0</v>
      </c>
      <c r="BW57" s="145">
        <f>IF(OR($M57=0,$N57=2),0,IF(VLOOKUP($H57,'How the score is generated (P)'!$B$4:$I$73,2,0)="ü",2,0))</f>
        <v>2</v>
      </c>
      <c r="BX57" s="35">
        <f>IF(VLOOKUP($H57,'How the score is generated (P)'!$B$4:$H$73,3,0)="ü",$Q57,0)</f>
        <v>0</v>
      </c>
      <c r="BY57" s="36">
        <f>IF(VLOOKUP($H57,'How the score is generated (P)'!$B$4:$H$73,3,0)="ü",$S57,0)</f>
        <v>0</v>
      </c>
      <c r="BZ57" s="145">
        <f>IF(OR($M57=0,$N57=2),0,IF(VLOOKUP($H57,'How the score is generated (P)'!$B$4:$I$73,3,0)="ü",2,0))</f>
        <v>2</v>
      </c>
      <c r="CA57" s="35">
        <f>IF(VLOOKUP($H57,'How the score is generated (P)'!$B$4:$H$73,4,0)="ü",$Q57,0)</f>
        <v>0</v>
      </c>
      <c r="CB57" s="36">
        <f>IF(VLOOKUP($H57,'How the score is generated (P)'!$B$4:$H$73,4,0)="ü",$S57,0)</f>
        <v>0</v>
      </c>
      <c r="CC57" s="145">
        <f>IF(OR($M57=0,$N57=2),0,IF(VLOOKUP($H57,'How the score is generated (P)'!$B$4:$I$73,4,0)="ü",2,0))</f>
        <v>2</v>
      </c>
      <c r="CD57" s="35">
        <f>IF(VLOOKUP($H57,'How the score is generated (P)'!$B$4:$H$73,5,0)="ü",$Q57,0)</f>
        <v>0</v>
      </c>
      <c r="CE57" s="36">
        <f>IF(VLOOKUP($H57,'How the score is generated (P)'!$B$4:$H$73,5,0)="ü",$S57,0)</f>
        <v>0</v>
      </c>
      <c r="CF57" s="145">
        <f>IF(OR($M57=0,$N57=2),0,IF(VLOOKUP($H57,'How the score is generated (P)'!$B$4:$I$73,5,0)="ü",2,0))</f>
        <v>2</v>
      </c>
      <c r="CG57" s="35">
        <f>IF(VLOOKUP($H57,'How the score is generated (P)'!$B$4:$H$73,6,0)="ü",$Q57,0)</f>
        <v>0</v>
      </c>
      <c r="CH57" s="36">
        <f>IF(VLOOKUP($H57,'How the score is generated (P)'!$B$4:$H$73,6,0)="ü",$S57,0)</f>
        <v>0</v>
      </c>
      <c r="CI57" s="145">
        <f>IF(OR($M57=0,$N57=2),0,IF(VLOOKUP($H57,'How the score is generated (P)'!$B$4:$I$73,6,0)="ü",2,0))</f>
        <v>2</v>
      </c>
      <c r="CJ57" s="35">
        <f>IF(VLOOKUP($H57,'How the score is generated (P)'!$B$4:$H$73,7,0)="ü",$Q57,0)</f>
        <v>0</v>
      </c>
      <c r="CK57" s="36">
        <f>IF(VLOOKUP($H57,'How the score is generated (P)'!$B$4:$H$73,7,0)="ü",$S57,0)</f>
        <v>0</v>
      </c>
      <c r="CL57" s="145">
        <f>IF(OR($M57=0,$N57=2),0,IF(VLOOKUP($H57,'How the score is generated (P)'!$B$4:$I$73,7,0)="ü",2,0))</f>
        <v>2</v>
      </c>
      <c r="CM57" s="35">
        <f>IF(VLOOKUP($H57,'How the score is generated (P)'!$B$4:$I$73,8,0)="ü",$Q57,0)</f>
        <v>0</v>
      </c>
      <c r="CN57" s="36">
        <f>IF(VLOOKUP($H57,'How the score is generated (P)'!$B$4:$I$73,8,0)="ü",$S57,0)</f>
        <v>0</v>
      </c>
      <c r="CO57" s="239">
        <f>IF(OR($M57=0,$N57=2),0,IF(VLOOKUP($H57,'How the score is generated (P)'!$B$4:$I$73,8,0)="ü",2,0))</f>
        <v>2</v>
      </c>
      <c r="CP57" s="300" t="s">
        <v>1108</v>
      </c>
    </row>
    <row r="58" spans="1:190" ht="88" customHeight="1" thickBot="1" x14ac:dyDescent="0.4">
      <c r="A58" s="23"/>
      <c r="B58" s="76"/>
      <c r="C58" s="69" t="str">
        <f>Validation!$S$6</f>
        <v xml:space="preserve">Group 5. Street environment and design </v>
      </c>
      <c r="D58" s="164">
        <f>D57+1</f>
        <v>39</v>
      </c>
      <c r="E58" s="44" t="s">
        <v>43</v>
      </c>
      <c r="F58" s="198" t="s">
        <v>43</v>
      </c>
      <c r="G58" s="39" t="s">
        <v>878</v>
      </c>
      <c r="H58" s="41" t="s">
        <v>1253</v>
      </c>
      <c r="I58" s="390" t="s">
        <v>896</v>
      </c>
      <c r="J58" s="41" t="s">
        <v>1224</v>
      </c>
      <c r="K58" s="41" t="s">
        <v>1225</v>
      </c>
      <c r="L58" s="42" t="s">
        <v>1226</v>
      </c>
      <c r="M58" s="170">
        <f>IF(Project!$B$27="Off-Street",0,1)</f>
        <v>1</v>
      </c>
      <c r="N58" s="425">
        <f t="shared" si="22"/>
        <v>0</v>
      </c>
      <c r="O58" s="144"/>
      <c r="P58" s="144"/>
      <c r="Q58" s="441">
        <f>IF(OR($M58=0,$O58="N/A"),"NA",VLOOKUP($O58,Validation!$D$2:$E$7,2,0))</f>
        <v>0</v>
      </c>
      <c r="R58" s="129">
        <f t="shared" si="23"/>
        <v>2</v>
      </c>
      <c r="S58" s="441">
        <f>IF(OR($M58=0,$P58="N/A"),"NA",VLOOKUP($P58,Validation!$D$2:$E$7,2,0))</f>
        <v>0</v>
      </c>
      <c r="T58" s="34">
        <f t="shared" si="24"/>
        <v>2</v>
      </c>
      <c r="U58" s="35">
        <f>IF(VLOOKUP($H58,'How the score is generated'!$B$4:$I$73,2,0)="ü",$Q58,0)</f>
        <v>0</v>
      </c>
      <c r="V58" s="36">
        <f>IF(VLOOKUP($H58,'How the score is generated'!$B$4:$I$73,2,0)="ü",$S58,0)</f>
        <v>0</v>
      </c>
      <c r="W58" s="145">
        <f>IF(OR($M58=0,$N58=2),0,IF(VLOOKUP($H58,'How the score is generated'!$B$4:$I$73,2,0)="ü",2,0))</f>
        <v>2</v>
      </c>
      <c r="X58" s="35">
        <f>IF(VLOOKUP($H58,'How the score is generated'!$B$4:$I$73,3,0)="ü",$Q58,0)</f>
        <v>0</v>
      </c>
      <c r="Y58" s="36">
        <f>IF(VLOOKUP($H58,'How the score is generated'!$B$4:$I$73,3,0)="ü",$S58,0)</f>
        <v>0</v>
      </c>
      <c r="Z58" s="145">
        <f>IF(OR($M58=0,$N58=2),0,IF(VLOOKUP($H58,'How the score is generated'!$B$4:$I$73,3,0)="ü",2,0))</f>
        <v>2</v>
      </c>
      <c r="AA58" s="35">
        <f>IF(VLOOKUP($H58,'How the score is generated'!$B$4:$I$73,4,0)="ü",$Q58,0)</f>
        <v>0</v>
      </c>
      <c r="AB58" s="36">
        <f>IF(VLOOKUP($H58,'How the score is generated'!$B$4:$I$73,4,0)="ü",$S58,0)</f>
        <v>0</v>
      </c>
      <c r="AC58" s="145">
        <f>IF(OR($M58=0,$N58=2),0,IF(VLOOKUP($H58,'How the score is generated'!$B$4:$I$73,4,0)="ü",2,0))</f>
        <v>0</v>
      </c>
      <c r="AD58" s="35">
        <f>IF(VLOOKUP($H58,'How the score is generated'!$B$4:$I$73,5,0)="ü",$Q58,0)</f>
        <v>0</v>
      </c>
      <c r="AE58" s="36">
        <f>IF(VLOOKUP($H58,'How the score is generated'!$B$4:$I$73,5,0)="ü",$S58,0)</f>
        <v>0</v>
      </c>
      <c r="AF58" s="145">
        <f>IF(OR($M58=0,$N58=2),0,IF(VLOOKUP($H58,'How the score is generated'!$B$4:$I$73,5,0)="ü",2,0))</f>
        <v>0</v>
      </c>
      <c r="AG58" s="35">
        <f>IF(VLOOKUP($H58,'How the score is generated'!$B$4:$I$73,6,0)="ü",$Q58,0)</f>
        <v>0</v>
      </c>
      <c r="AH58" s="36">
        <f>IF(VLOOKUP($H58,'How the score is generated'!$B$4:$I$73,6,0)="ü",$S58,0)</f>
        <v>0</v>
      </c>
      <c r="AI58" s="145">
        <f>IF(OR($M58=0,$N58=2),0,IF(VLOOKUP($H58,'How the score is generated'!$B$4:$I$73,6,0)="ü",2,0))</f>
        <v>0</v>
      </c>
      <c r="AJ58" s="35">
        <f>IF(VLOOKUP($H58,'How the score is generated'!$B$4:$I$73,7,0)="ü",$Q58,0)</f>
        <v>0</v>
      </c>
      <c r="AK58" s="36">
        <f>IF(VLOOKUP($H58,'How the score is generated'!$B$4:$I$73,7,0)="ü",$S58,0)</f>
        <v>0</v>
      </c>
      <c r="AL58" s="145">
        <f>IF(OR($M58=0,$N58=2),0,IF(VLOOKUP($H58,'How the score is generated'!$B$4:$I$73,7,0)="ü",2,0))</f>
        <v>0</v>
      </c>
      <c r="AM58" s="35">
        <f>IF(VLOOKUP($H58,'How the score is generated'!$B$4:$I$73,8,0)="ü",$Q58,0)</f>
        <v>0</v>
      </c>
      <c r="AN58" s="36">
        <f>IF(VLOOKUP($H58,'How the score is generated'!$B$4:$I$73,8,0)="ü",$S58,0)</f>
        <v>0</v>
      </c>
      <c r="AO58" s="145">
        <f>IF(OR($M58=0,$N58=2),0,IF(VLOOKUP($H58,'How the score is generated'!$B$4:$I$73,8,0)="ü",2,0))</f>
        <v>0</v>
      </c>
      <c r="AP58" s="23"/>
      <c r="AQ58" s="404" t="s">
        <v>1254</v>
      </c>
      <c r="AR58" s="23"/>
      <c r="AS58" s="381"/>
      <c r="AW58" s="34"/>
      <c r="AX58" s="34" t="str">
        <f t="shared" si="25"/>
        <v/>
      </c>
      <c r="AY58" s="34" t="str">
        <f t="shared" si="26"/>
        <v/>
      </c>
      <c r="AZ58" s="34" t="str">
        <f t="shared" si="27"/>
        <v/>
      </c>
      <c r="BA58" s="34" t="str">
        <f t="shared" si="28"/>
        <v>39. Surface water ponding impact on street users and uses</v>
      </c>
      <c r="BB58" s="35">
        <f>IF(VLOOKUP($H58,'How the score is generated (H)'!$B$4:$H$73,2,0)="ü",$Q58,0)</f>
        <v>0</v>
      </c>
      <c r="BC58" s="36">
        <f>IF(VLOOKUP($H58,'How the score is generated (H)'!$B$4:$H$73,2,0)="ü",$S58,0)</f>
        <v>0</v>
      </c>
      <c r="BD58" s="145">
        <f>IF(OR($M58=0,$N58=2),0,IF(VLOOKUP($H58,'How the score is generated (H)'!$B$4:$H$73,2,0)="ü",2,0))</f>
        <v>2</v>
      </c>
      <c r="BE58" s="35">
        <f>IF(VLOOKUP($H58,'How the score is generated (H)'!$B$4:$H$73,3,0)="ü",$Q58,0)</f>
        <v>0</v>
      </c>
      <c r="BF58" s="36">
        <f>IF(VLOOKUP($H58,'How the score is generated (H)'!$B$4:$H$73,3,0)="ü",$S58,0)</f>
        <v>0</v>
      </c>
      <c r="BG58" s="145">
        <f>IF(OR($M58=0,$N58=2),0,IF(VLOOKUP($H58,'How the score is generated (H)'!$B$4:$H$73,3,0)="ü",2,0))</f>
        <v>2</v>
      </c>
      <c r="BH58" s="35">
        <f>IF(VLOOKUP($H58,'How the score is generated (H)'!$B$4:$H$73,4,0)="ü",$Q58,0)</f>
        <v>0</v>
      </c>
      <c r="BI58" s="36">
        <f>IF(VLOOKUP($H58,'How the score is generated (H)'!$B$4:$H$73,4,0)="ü",$S58,0)</f>
        <v>0</v>
      </c>
      <c r="BJ58" s="145">
        <f>IF(OR($M58=0,$N58=2),0,IF(VLOOKUP($H58,'How the score is generated (H)'!$B$4:$H$73,4,0)="ü",2,0))</f>
        <v>2</v>
      </c>
      <c r="BK58" s="35">
        <f>IF(VLOOKUP($H58,'How the score is generated (H)'!$B$4:$H$73,5,0)="ü",$Q58,0)</f>
        <v>0</v>
      </c>
      <c r="BL58" s="36">
        <f>IF(VLOOKUP($H58,'How the score is generated (H)'!$B$4:$H$73,5,0)="ü",$S58,0)</f>
        <v>0</v>
      </c>
      <c r="BM58" s="145">
        <f>IF(OR($M58=0,$N58=2),0,IF(VLOOKUP($H58,'How the score is generated (H)'!$B$4:$H$73,5,0)="ü",2,0))</f>
        <v>2</v>
      </c>
      <c r="BN58" s="35">
        <f>IF(VLOOKUP($H58,'How the score is generated (H)'!$B$4:$H$73,6,0)="ü",$Q58,0)</f>
        <v>0</v>
      </c>
      <c r="BO58" s="36">
        <f>IF(VLOOKUP($H58,'How the score is generated (H)'!$B$4:$H$73,6,0)="ü",$S58,0)</f>
        <v>0</v>
      </c>
      <c r="BP58" s="145">
        <f>IF(OR($M58=0,$N58=2),0,IF(VLOOKUP($H58,'How the score is generated (H)'!$B$4:$H$73,6,0)="ü",2,0))</f>
        <v>2</v>
      </c>
      <c r="BQ58" s="35">
        <f>IF(VLOOKUP($H58,'How the score is generated (H)'!$B$4:$H$73,7,0)="ü",$Q58,0)</f>
        <v>0</v>
      </c>
      <c r="BR58" s="36">
        <f>IF(VLOOKUP($H58,'How the score is generated (H)'!$B$4:$H$73,7,0)="ü",$S58,0)</f>
        <v>0</v>
      </c>
      <c r="BS58" s="145">
        <f>IF(OR($M58=0,$N58=2),0,IF(VLOOKUP($H58,'How the score is generated (H)'!$B$4:$H$73,7,0)="ü",2,0))</f>
        <v>0</v>
      </c>
      <c r="BT58" s="23"/>
      <c r="BU58" s="35">
        <f>IF(VLOOKUP($H58,'How the score is generated (P)'!$B$4:$H$73,2,0)="ü",$Q58,0)</f>
        <v>0</v>
      </c>
      <c r="BV58" s="36">
        <f>IF(VLOOKUP($H58,'How the score is generated (P)'!$B$4:$H$73,2,0)="ü",$S58,0)</f>
        <v>0</v>
      </c>
      <c r="BW58" s="145">
        <f>IF(OR($M58=0,$N58=2),0,IF(VLOOKUP($H58,'How the score is generated (P)'!$B$4:$I$73,2,0)="ü",2,0))</f>
        <v>0</v>
      </c>
      <c r="BX58" s="35">
        <f>IF(VLOOKUP($H58,'How the score is generated (P)'!$B$4:$H$73,3,0)="ü",$Q58,0)</f>
        <v>0</v>
      </c>
      <c r="BY58" s="36">
        <f>IF(VLOOKUP($H58,'How the score is generated (P)'!$B$4:$H$73,3,0)="ü",$S58,0)</f>
        <v>0</v>
      </c>
      <c r="BZ58" s="145">
        <f>IF(OR($M58=0,$N58=2),0,IF(VLOOKUP($H58,'How the score is generated (P)'!$B$4:$I$73,3,0)="ü",2,0))</f>
        <v>0</v>
      </c>
      <c r="CA58" s="35">
        <f>IF(VLOOKUP($H58,'How the score is generated (P)'!$B$4:$H$73,4,0)="ü",$Q58,0)</f>
        <v>0</v>
      </c>
      <c r="CB58" s="36">
        <f>IF(VLOOKUP($H58,'How the score is generated (P)'!$B$4:$H$73,4,0)="ü",$S58,0)</f>
        <v>0</v>
      </c>
      <c r="CC58" s="145">
        <f>IF(OR($M58=0,$N58=2),0,IF(VLOOKUP($H58,'How the score is generated (P)'!$B$4:$I$73,4,0)="ü",2,0))</f>
        <v>0</v>
      </c>
      <c r="CD58" s="35">
        <f>IF(VLOOKUP($H58,'How the score is generated (P)'!$B$4:$H$73,5,0)="ü",$Q58,0)</f>
        <v>0</v>
      </c>
      <c r="CE58" s="36">
        <f>IF(VLOOKUP($H58,'How the score is generated (P)'!$B$4:$H$73,5,0)="ü",$S58,0)</f>
        <v>0</v>
      </c>
      <c r="CF58" s="145">
        <f>IF(OR($M58=0,$N58=2),0,IF(VLOOKUP($H58,'How the score is generated (P)'!$B$4:$I$73,5,0)="ü",2,0))</f>
        <v>2</v>
      </c>
      <c r="CG58" s="35">
        <f>IF(VLOOKUP($H58,'How the score is generated (P)'!$B$4:$H$73,6,0)="ü",$Q58,0)</f>
        <v>0</v>
      </c>
      <c r="CH58" s="36">
        <f>IF(VLOOKUP($H58,'How the score is generated (P)'!$B$4:$H$73,6,0)="ü",$S58,0)</f>
        <v>0</v>
      </c>
      <c r="CI58" s="145">
        <f>IF(OR($M58=0,$N58=2),0,IF(VLOOKUP($H58,'How the score is generated (P)'!$B$4:$I$73,6,0)="ü",2,0))</f>
        <v>2</v>
      </c>
      <c r="CJ58" s="35">
        <f>IF(VLOOKUP($H58,'How the score is generated (P)'!$B$4:$H$73,7,0)="ü",$Q58,0)</f>
        <v>0</v>
      </c>
      <c r="CK58" s="36">
        <f>IF(VLOOKUP($H58,'How the score is generated (P)'!$B$4:$H$73,7,0)="ü",$S58,0)</f>
        <v>0</v>
      </c>
      <c r="CL58" s="145">
        <f>IF(OR($M58=0,$N58=2),0,IF(VLOOKUP($H58,'How the score is generated (P)'!$B$4:$I$73,7,0)="ü",2,0))</f>
        <v>2</v>
      </c>
      <c r="CM58" s="35">
        <f>IF(VLOOKUP($H58,'How the score is generated (P)'!$B$4:$I$73,8,0)="ü",$Q58,0)</f>
        <v>0</v>
      </c>
      <c r="CN58" s="36">
        <f>IF(VLOOKUP($H58,'How the score is generated (P)'!$B$4:$I$73,8,0)="ü",$S58,0)</f>
        <v>0</v>
      </c>
      <c r="CO58" s="239">
        <f>IF(OR($M58=0,$N58=2),0,IF(VLOOKUP($H58,'How the score is generated (P)'!$B$4:$I$73,8,0)="ü",2,0))</f>
        <v>0</v>
      </c>
      <c r="CP58" s="300"/>
    </row>
    <row r="59" spans="1:190" ht="183" customHeight="1" thickBot="1" x14ac:dyDescent="0.4">
      <c r="A59" s="23"/>
      <c r="B59" s="225"/>
      <c r="C59" s="69" t="str">
        <f>Validation!$S$6</f>
        <v xml:space="preserve">Group 5. Street environment and design </v>
      </c>
      <c r="D59" s="164">
        <f>D58+1</f>
        <v>40</v>
      </c>
      <c r="E59" s="38" t="s">
        <v>43</v>
      </c>
      <c r="F59" s="198" t="s">
        <v>43</v>
      </c>
      <c r="G59" s="39" t="s">
        <v>1171</v>
      </c>
      <c r="H59" s="41" t="s">
        <v>1088</v>
      </c>
      <c r="I59" s="390" t="s">
        <v>896</v>
      </c>
      <c r="J59" s="41" t="s">
        <v>1256</v>
      </c>
      <c r="K59" s="41" t="s">
        <v>1290</v>
      </c>
      <c r="L59" s="42" t="s">
        <v>1257</v>
      </c>
      <c r="M59" s="170">
        <f>IF(Project!$B$27="Off-Street",0,1)</f>
        <v>1</v>
      </c>
      <c r="N59" s="425">
        <f t="shared" si="22"/>
        <v>0</v>
      </c>
      <c r="O59" s="144"/>
      <c r="P59" s="144"/>
      <c r="Q59" s="441">
        <f>IF(OR($M59=0,$O59="N/A"),"NA",VLOOKUP($O59,Validation!$D$2:$E$7,2,0))</f>
        <v>0</v>
      </c>
      <c r="R59" s="129">
        <f t="shared" si="23"/>
        <v>2</v>
      </c>
      <c r="S59" s="441">
        <f>IF(OR($M59=0,$P59="N/A"),"NA",VLOOKUP($P59,Validation!$D$2:$E$7,2,0))</f>
        <v>0</v>
      </c>
      <c r="T59" s="34">
        <f t="shared" si="24"/>
        <v>2</v>
      </c>
      <c r="U59" s="35">
        <f>IF(VLOOKUP($H59,'How the score is generated'!$B$4:$I$73,2,0)="ü",$Q59,0)</f>
        <v>0</v>
      </c>
      <c r="V59" s="36">
        <f>IF(VLOOKUP($H59,'How the score is generated'!$B$4:$I$73,2,0)="ü",$S59,0)</f>
        <v>0</v>
      </c>
      <c r="W59" s="145">
        <f>IF(OR($M59=0,$N59=2),0,IF(VLOOKUP($H59,'How the score is generated'!$B$4:$I$73,2,0)="ü",2,0))</f>
        <v>2</v>
      </c>
      <c r="X59" s="35">
        <f>IF(VLOOKUP($H59,'How the score is generated'!$B$4:$I$73,3,0)="ü",$Q59,0)</f>
        <v>0</v>
      </c>
      <c r="Y59" s="36">
        <f>IF(VLOOKUP($H59,'How the score is generated'!$B$4:$I$73,3,0)="ü",$S59,0)</f>
        <v>0</v>
      </c>
      <c r="Z59" s="145">
        <f>IF(OR($M59=0,$N59=2),0,IF(VLOOKUP($H59,'How the score is generated'!$B$4:$I$73,3,0)="ü",2,0))</f>
        <v>0</v>
      </c>
      <c r="AA59" s="35">
        <f>IF(VLOOKUP($H59,'How the score is generated'!$B$4:$I$73,4,0)="ü",$Q59,0)</f>
        <v>0</v>
      </c>
      <c r="AB59" s="36">
        <f>IF(VLOOKUP($H59,'How the score is generated'!$B$4:$I$73,4,0)="ü",$S59,0)</f>
        <v>0</v>
      </c>
      <c r="AC59" s="145">
        <f>IF(OR($M59=0,$N59=2),0,IF(VLOOKUP($H59,'How the score is generated'!$B$4:$I$73,4,0)="ü",2,0))</f>
        <v>0</v>
      </c>
      <c r="AD59" s="35">
        <f>IF(VLOOKUP($H59,'How the score is generated'!$B$4:$I$73,5,0)="ü",$Q59,0)</f>
        <v>0</v>
      </c>
      <c r="AE59" s="36">
        <f>IF(VLOOKUP($H59,'How the score is generated'!$B$4:$I$73,5,0)="ü",$S59,0)</f>
        <v>0</v>
      </c>
      <c r="AF59" s="145">
        <f>IF(OR($M59=0,$N59=2),0,IF(VLOOKUP($H59,'How the score is generated'!$B$4:$I$73,5,0)="ü",2,0))</f>
        <v>0</v>
      </c>
      <c r="AG59" s="35">
        <f>IF(VLOOKUP($H59,'How the score is generated'!$B$4:$I$73,6,0)="ü",$Q59,0)</f>
        <v>0</v>
      </c>
      <c r="AH59" s="36">
        <f>IF(VLOOKUP($H59,'How the score is generated'!$B$4:$I$73,6,0)="ü",$S59,0)</f>
        <v>0</v>
      </c>
      <c r="AI59" s="145">
        <f>IF(OR($M59=0,$N59=2),0,IF(VLOOKUP($H59,'How the score is generated'!$B$4:$I$73,6,0)="ü",2,0))</f>
        <v>0</v>
      </c>
      <c r="AJ59" s="35">
        <f>IF(VLOOKUP($H59,'How the score is generated'!$B$4:$I$73,7,0)="ü",$Q59,0)</f>
        <v>0</v>
      </c>
      <c r="AK59" s="36">
        <f>IF(VLOOKUP($H59,'How the score is generated'!$B$4:$I$73,7,0)="ü",$S59,0)</f>
        <v>0</v>
      </c>
      <c r="AL59" s="145">
        <f>IF(OR($M59=0,$N59=2),0,IF(VLOOKUP($H59,'How the score is generated'!$B$4:$I$73,7,0)="ü",2,0))</f>
        <v>0</v>
      </c>
      <c r="AM59" s="35">
        <f>IF(VLOOKUP($H59,'How the score is generated'!$B$4:$I$73,8,0)="ü",$Q59,0)</f>
        <v>0</v>
      </c>
      <c r="AN59" s="36">
        <f>IF(VLOOKUP($H59,'How the score is generated'!$B$4:$I$73,8,0)="ü",$S59,0)</f>
        <v>0</v>
      </c>
      <c r="AO59" s="145">
        <f>IF(OR($M59=0,$N59=2),0,IF(VLOOKUP($H59,'How the score is generated'!$B$4:$I$73,8,0)="ü",2,0))</f>
        <v>0</v>
      </c>
      <c r="AP59" s="23"/>
      <c r="AQ59" s="404" t="s">
        <v>1239</v>
      </c>
      <c r="AR59" s="23"/>
      <c r="AS59" s="146"/>
      <c r="AW59" s="34"/>
      <c r="AX59" s="34" t="str">
        <f t="shared" si="25"/>
        <v/>
      </c>
      <c r="AY59" s="34" t="str">
        <f t="shared" si="26"/>
        <v/>
      </c>
      <c r="AZ59" s="34" t="str">
        <f t="shared" si="27"/>
        <v/>
      </c>
      <c r="BA59" s="34" t="str">
        <f t="shared" si="28"/>
        <v>40. Clutter and street engagement</v>
      </c>
      <c r="BB59" s="35">
        <f>IF(VLOOKUP($H59,'How the score is generated (H)'!$B$4:$H$73,2,0)="ü",$Q59,0)</f>
        <v>0</v>
      </c>
      <c r="BC59" s="36">
        <f>IF(VLOOKUP($H59,'How the score is generated (H)'!$B$4:$H$73,2,0)="ü",$S59,0)</f>
        <v>0</v>
      </c>
      <c r="BD59" s="145">
        <f>IF(OR($M59=0,$N59=2),0,IF(VLOOKUP($H59,'How the score is generated (H)'!$B$4:$H$73,2,0)="ü",2,0))</f>
        <v>2</v>
      </c>
      <c r="BE59" s="35">
        <f>IF(VLOOKUP($H59,'How the score is generated (H)'!$B$4:$H$73,3,0)="ü",$Q59,0)</f>
        <v>0</v>
      </c>
      <c r="BF59" s="36">
        <f>IF(VLOOKUP($H59,'How the score is generated (H)'!$B$4:$H$73,3,0)="ü",$S59,0)</f>
        <v>0</v>
      </c>
      <c r="BG59" s="145">
        <f>IF(OR($M59=0,$N59=2),0,IF(VLOOKUP($H59,'How the score is generated (H)'!$B$4:$H$73,3,0)="ü",2,0))</f>
        <v>2</v>
      </c>
      <c r="BH59" s="35">
        <f>IF(VLOOKUP($H59,'How the score is generated (H)'!$B$4:$H$73,4,0)="ü",$Q59,0)</f>
        <v>0</v>
      </c>
      <c r="BI59" s="36">
        <f>IF(VLOOKUP($H59,'How the score is generated (H)'!$B$4:$H$73,4,0)="ü",$S59,0)</f>
        <v>0</v>
      </c>
      <c r="BJ59" s="145">
        <f>IF(OR($M59=0,$N59=2),0,IF(VLOOKUP($H59,'How the score is generated (H)'!$B$4:$H$73,4,0)="ü",2,0))</f>
        <v>2</v>
      </c>
      <c r="BK59" s="35">
        <f>IF(VLOOKUP($H59,'How the score is generated (H)'!$B$4:$H$73,5,0)="ü",$Q59,0)</f>
        <v>0</v>
      </c>
      <c r="BL59" s="36">
        <f>IF(VLOOKUP($H59,'How the score is generated (H)'!$B$4:$H$73,5,0)="ü",$S59,0)</f>
        <v>0</v>
      </c>
      <c r="BM59" s="145">
        <f>IF(OR($M59=0,$N59=2),0,IF(VLOOKUP($H59,'How the score is generated (H)'!$B$4:$H$73,5,0)="ü",2,0))</f>
        <v>2</v>
      </c>
      <c r="BN59" s="35">
        <f>IF(VLOOKUP($H59,'How the score is generated (H)'!$B$4:$H$73,6,0)="ü",$Q59,0)</f>
        <v>0</v>
      </c>
      <c r="BO59" s="36">
        <f>IF(VLOOKUP($H59,'How the score is generated (H)'!$B$4:$H$73,6,0)="ü",$S59,0)</f>
        <v>0</v>
      </c>
      <c r="BP59" s="145">
        <f>IF(OR($M59=0,$N59=2),0,IF(VLOOKUP($H59,'How the score is generated (H)'!$B$4:$H$73,6,0)="ü",2,0))</f>
        <v>2</v>
      </c>
      <c r="BQ59" s="35">
        <f>IF(VLOOKUP($H59,'How the score is generated (H)'!$B$4:$H$73,7,0)="ü",$Q59,0)</f>
        <v>0</v>
      </c>
      <c r="BR59" s="36">
        <f>IF(VLOOKUP($H59,'How the score is generated (H)'!$B$4:$H$73,7,0)="ü",$S59,0)</f>
        <v>0</v>
      </c>
      <c r="BS59" s="145">
        <f>IF(OR($M59=0,$N59=2),0,IF(VLOOKUP($H59,'How the score is generated (H)'!$B$4:$H$73,7,0)="ü",2,0))</f>
        <v>0</v>
      </c>
      <c r="BT59" s="23"/>
      <c r="BU59" s="35">
        <f>IF(VLOOKUP($H59,'How the score is generated (P)'!$B$4:$H$73,2,0)="ü",$Q59,0)</f>
        <v>0</v>
      </c>
      <c r="BV59" s="36">
        <f>IF(VLOOKUP($H59,'How the score is generated (P)'!$B$4:$H$73,2,0)="ü",$S59,0)</f>
        <v>0</v>
      </c>
      <c r="BW59" s="145">
        <f>IF(OR($M59=0,$N59=2),0,IF(VLOOKUP($H59,'How the score is generated (P)'!$B$4:$I$73,2,0)="ü",2,0))</f>
        <v>2</v>
      </c>
      <c r="BX59" s="35">
        <f>IF(VLOOKUP($H59,'How the score is generated (P)'!$B$4:$H$73,3,0)="ü",$Q59,0)</f>
        <v>0</v>
      </c>
      <c r="BY59" s="36">
        <f>IF(VLOOKUP($H59,'How the score is generated (P)'!$B$4:$H$73,3,0)="ü",$S59,0)</f>
        <v>0</v>
      </c>
      <c r="BZ59" s="145">
        <f>IF(OR($M59=0,$N59=2),0,IF(VLOOKUP($H59,'How the score is generated (P)'!$B$4:$I$73,3,0)="ü",2,0))</f>
        <v>0</v>
      </c>
      <c r="CA59" s="35">
        <f>IF(VLOOKUP($H59,'How the score is generated (P)'!$B$4:$H$73,4,0)="ü",$Q59,0)</f>
        <v>0</v>
      </c>
      <c r="CB59" s="36">
        <f>IF(VLOOKUP($H59,'How the score is generated (P)'!$B$4:$H$73,4,0)="ü",$S59,0)</f>
        <v>0</v>
      </c>
      <c r="CC59" s="145">
        <f>IF(OR($M59=0,$N59=2),0,IF(VLOOKUP($H59,'How the score is generated (P)'!$B$4:$I$73,4,0)="ü",2,0))</f>
        <v>0</v>
      </c>
      <c r="CD59" s="35">
        <f>IF(VLOOKUP($H59,'How the score is generated (P)'!$B$4:$H$73,5,0)="ü",$Q59,0)</f>
        <v>0</v>
      </c>
      <c r="CE59" s="36">
        <f>IF(VLOOKUP($H59,'How the score is generated (P)'!$B$4:$H$73,5,0)="ü",$S59,0)</f>
        <v>0</v>
      </c>
      <c r="CF59" s="145">
        <f>IF(OR($M59=0,$N59=2),0,IF(VLOOKUP($H59,'How the score is generated (P)'!$B$4:$I$73,5,0)="ü",2,0))</f>
        <v>2</v>
      </c>
      <c r="CG59" s="35">
        <f>IF(VLOOKUP($H59,'How the score is generated (P)'!$B$4:$H$73,6,0)="ü",$Q59,0)</f>
        <v>0</v>
      </c>
      <c r="CH59" s="36">
        <f>IF(VLOOKUP($H59,'How the score is generated (P)'!$B$4:$H$73,6,0)="ü",$S59,0)</f>
        <v>0</v>
      </c>
      <c r="CI59" s="145">
        <f>IF(OR($M59=0,$N59=2),0,IF(VLOOKUP($H59,'How the score is generated (P)'!$B$4:$I$73,6,0)="ü",2,0))</f>
        <v>0</v>
      </c>
      <c r="CJ59" s="35">
        <f>IF(VLOOKUP($H59,'How the score is generated (P)'!$B$4:$H$73,7,0)="ü",$Q59,0)</f>
        <v>0</v>
      </c>
      <c r="CK59" s="36">
        <f>IF(VLOOKUP($H59,'How the score is generated (P)'!$B$4:$H$73,7,0)="ü",$S59,0)</f>
        <v>0</v>
      </c>
      <c r="CL59" s="145">
        <f>IF(OR($M59=0,$N59=2),0,IF(VLOOKUP($H59,'How the score is generated (P)'!$B$4:$I$73,7,0)="ü",2,0))</f>
        <v>0</v>
      </c>
      <c r="CM59" s="35">
        <f>IF(VLOOKUP($H59,'How the score is generated (P)'!$B$4:$I$73,8,0)="ü",$Q59,0)</f>
        <v>0</v>
      </c>
      <c r="CN59" s="36">
        <f>IF(VLOOKUP($H59,'How the score is generated (P)'!$B$4:$I$73,8,0)="ü",$S59,0)</f>
        <v>0</v>
      </c>
      <c r="CO59" s="239">
        <f>IF(OR($M59=0,$N59=2),0,IF(VLOOKUP($H59,'How the score is generated (P)'!$B$4:$I$73,8,0)="ü",2,0))</f>
        <v>0</v>
      </c>
      <c r="CP59" s="300" t="s">
        <v>1114</v>
      </c>
    </row>
    <row r="60" spans="1:190" ht="176.5" customHeight="1" thickBot="1" x14ac:dyDescent="0.4">
      <c r="A60" s="23"/>
      <c r="B60" s="225"/>
      <c r="C60" s="69" t="str">
        <f>Validation!$S$6</f>
        <v xml:space="preserve">Group 5. Street environment and design </v>
      </c>
      <c r="D60" s="164">
        <f>D59+1</f>
        <v>41</v>
      </c>
      <c r="E60" s="44" t="s">
        <v>39</v>
      </c>
      <c r="F60" s="168" t="s">
        <v>20</v>
      </c>
      <c r="G60" s="39" t="s">
        <v>1221</v>
      </c>
      <c r="H60" s="41" t="s">
        <v>1222</v>
      </c>
      <c r="I60" s="390" t="s">
        <v>896</v>
      </c>
      <c r="J60" s="41" t="s">
        <v>1223</v>
      </c>
      <c r="K60" s="41" t="s">
        <v>1220</v>
      </c>
      <c r="L60" s="42" t="s">
        <v>1248</v>
      </c>
      <c r="M60" s="170">
        <f>IF(Project!$B$27="Off-Street",0,1)</f>
        <v>1</v>
      </c>
      <c r="N60" s="425">
        <f t="shared" si="22"/>
        <v>0</v>
      </c>
      <c r="O60" s="144"/>
      <c r="P60" s="144"/>
      <c r="Q60" s="441">
        <f>IF(OR($M60=0,$O60="N/A"),"NA",VLOOKUP($O60,Validation!$D$2:$E$7,2,0))</f>
        <v>0</v>
      </c>
      <c r="R60" s="129">
        <f t="shared" si="23"/>
        <v>2</v>
      </c>
      <c r="S60" s="441">
        <f>IF(OR($M60=0,$P60="N/A"),"NA",VLOOKUP($P60,Validation!$D$2:$E$7,2,0))</f>
        <v>0</v>
      </c>
      <c r="T60" s="34">
        <f t="shared" si="24"/>
        <v>2</v>
      </c>
      <c r="U60" s="35">
        <f>IF(VLOOKUP($H60,'How the score is generated'!$B$4:$I$73,2,0)="ü",$Q60,0)</f>
        <v>0</v>
      </c>
      <c r="V60" s="36">
        <f>IF(VLOOKUP($H60,'How the score is generated'!$B$4:$I$73,2,0)="ü",$S60,0)</f>
        <v>0</v>
      </c>
      <c r="W60" s="145">
        <f>IF(OR($M60=0,$N60=2),0,IF(VLOOKUP($H60,'How the score is generated'!$B$4:$I$73,2,0)="ü",2,0))</f>
        <v>2</v>
      </c>
      <c r="X60" s="35">
        <f>IF(VLOOKUP($H60,'How the score is generated'!$B$4:$I$73,3,0)="ü",$Q60,0)</f>
        <v>0</v>
      </c>
      <c r="Y60" s="36">
        <f>IF(VLOOKUP($H60,'How the score is generated'!$B$4:$I$73,3,0)="ü",$S60,0)</f>
        <v>0</v>
      </c>
      <c r="Z60" s="145">
        <f>IF(OR($M60=0,$N60=2),0,IF(VLOOKUP($H60,'How the score is generated'!$B$4:$I$73,3,0)="ü",2,0))</f>
        <v>2</v>
      </c>
      <c r="AA60" s="35">
        <f>IF(VLOOKUP($H60,'How the score is generated'!$B$4:$I$73,4,0)="ü",$Q60,0)</f>
        <v>0</v>
      </c>
      <c r="AB60" s="36">
        <f>IF(VLOOKUP($H60,'How the score is generated'!$B$4:$I$73,4,0)="ü",$S60,0)</f>
        <v>0</v>
      </c>
      <c r="AC60" s="145">
        <f>IF(OR($M60=0,$N60=2),0,IF(VLOOKUP($H60,'How the score is generated'!$B$4:$I$73,4,0)="ü",2,0))</f>
        <v>0</v>
      </c>
      <c r="AD60" s="35">
        <f>IF(VLOOKUP($H60,'How the score is generated'!$B$4:$I$73,5,0)="ü",$Q60,0)</f>
        <v>0</v>
      </c>
      <c r="AE60" s="36">
        <f>IF(VLOOKUP($H60,'How the score is generated'!$B$4:$I$73,5,0)="ü",$S60,0)</f>
        <v>0</v>
      </c>
      <c r="AF60" s="145">
        <f>IF(OR($M60=0,$N60=2),0,IF(VLOOKUP($H60,'How the score is generated'!$B$4:$I$73,5,0)="ü",2,0))</f>
        <v>0</v>
      </c>
      <c r="AG60" s="35">
        <f>IF(VLOOKUP($H60,'How the score is generated'!$B$4:$I$73,6,0)="ü",$Q60,0)</f>
        <v>0</v>
      </c>
      <c r="AH60" s="36">
        <f>IF(VLOOKUP($H60,'How the score is generated'!$B$4:$I$73,6,0)="ü",$S60,0)</f>
        <v>0</v>
      </c>
      <c r="AI60" s="145">
        <f>IF(OR($M60=0,$N60=2),0,IF(VLOOKUP($H60,'How the score is generated'!$B$4:$I$73,6,0)="ü",2,0))</f>
        <v>2</v>
      </c>
      <c r="AJ60" s="35">
        <f>IF(VLOOKUP($H60,'How the score is generated'!$B$4:$I$73,7,0)="ü",$Q60,0)</f>
        <v>0</v>
      </c>
      <c r="AK60" s="36">
        <f>IF(VLOOKUP($H60,'How the score is generated'!$B$4:$I$73,7,0)="ü",$S60,0)</f>
        <v>0</v>
      </c>
      <c r="AL60" s="145">
        <f>IF(OR($M60=0,$N60=2),0,IF(VLOOKUP($H60,'How the score is generated'!$B$4:$I$73,7,0)="ü",2,0))</f>
        <v>0</v>
      </c>
      <c r="AM60" s="35">
        <f>IF(VLOOKUP($H60,'How the score is generated'!$B$4:$I$73,8,0)="ü",$Q60,0)</f>
        <v>0</v>
      </c>
      <c r="AN60" s="36">
        <f>IF(VLOOKUP($H60,'How the score is generated'!$B$4:$I$73,8,0)="ü",$S60,0)</f>
        <v>0</v>
      </c>
      <c r="AO60" s="145">
        <f>IF(OR($M60=0,$N60=2),0,IF(VLOOKUP($H60,'How the score is generated'!$B$4:$I$73,8,0)="ü",2,0))</f>
        <v>2</v>
      </c>
      <c r="AP60" s="23"/>
      <c r="AQ60" s="404" t="s">
        <v>1219</v>
      </c>
      <c r="AR60" s="23"/>
      <c r="AS60" s="381"/>
      <c r="AW60" s="34"/>
      <c r="AX60" s="34" t="str">
        <f t="shared" si="25"/>
        <v/>
      </c>
      <c r="AY60" s="34" t="str">
        <f t="shared" si="26"/>
        <v/>
      </c>
      <c r="AZ60" s="34" t="str">
        <f t="shared" si="27"/>
        <v/>
      </c>
      <c r="BA60" s="34" t="str">
        <f t="shared" si="28"/>
        <v>41. Context sensitive approach to traffic management and traffic engineering</v>
      </c>
      <c r="BB60" s="35">
        <f>IF(VLOOKUP($H60,'How the score is generated (H)'!$B$4:$H$73,2,0)="ü",$Q60,0)</f>
        <v>0</v>
      </c>
      <c r="BC60" s="36">
        <f>IF(VLOOKUP($H60,'How the score is generated (H)'!$B$4:$H$73,2,0)="ü",$S60,0)</f>
        <v>0</v>
      </c>
      <c r="BD60" s="145">
        <f>IF(OR($M60=0,$N60=2),0,IF(VLOOKUP($H60,'How the score is generated (H)'!$B$4:$H$73,2,0)="ü",2,0))</f>
        <v>2</v>
      </c>
      <c r="BE60" s="35">
        <f>IF(VLOOKUP($H60,'How the score is generated (H)'!$B$4:$H$73,3,0)="ü",$Q60,0)</f>
        <v>0</v>
      </c>
      <c r="BF60" s="36">
        <f>IF(VLOOKUP($H60,'How the score is generated (H)'!$B$4:$H$73,3,0)="ü",$S60,0)</f>
        <v>0</v>
      </c>
      <c r="BG60" s="145">
        <f>IF(OR($M60=0,$N60=2),0,IF(VLOOKUP($H60,'How the score is generated (H)'!$B$4:$H$73,3,0)="ü",2,0))</f>
        <v>2</v>
      </c>
      <c r="BH60" s="35">
        <f>IF(VLOOKUP($H60,'How the score is generated (H)'!$B$4:$H$73,4,0)="ü",$Q60,0)</f>
        <v>0</v>
      </c>
      <c r="BI60" s="36">
        <f>IF(VLOOKUP($H60,'How the score is generated (H)'!$B$4:$H$73,4,0)="ü",$S60,0)</f>
        <v>0</v>
      </c>
      <c r="BJ60" s="145">
        <f>IF(OR($M60=0,$N60=2),0,IF(VLOOKUP($H60,'How the score is generated (H)'!$B$4:$H$73,4,0)="ü",2,0))</f>
        <v>2</v>
      </c>
      <c r="BK60" s="35">
        <f>IF(VLOOKUP($H60,'How the score is generated (H)'!$B$4:$H$73,5,0)="ü",$Q60,0)</f>
        <v>0</v>
      </c>
      <c r="BL60" s="36">
        <f>IF(VLOOKUP($H60,'How the score is generated (H)'!$B$4:$H$73,5,0)="ü",$S60,0)</f>
        <v>0</v>
      </c>
      <c r="BM60" s="145">
        <f>IF(OR($M60=0,$N60=2),0,IF(VLOOKUP($H60,'How the score is generated (H)'!$B$4:$H$73,5,0)="ü",2,0))</f>
        <v>2</v>
      </c>
      <c r="BN60" s="35">
        <f>IF(VLOOKUP($H60,'How the score is generated (H)'!$B$4:$H$73,6,0)="ü",$Q60,0)</f>
        <v>0</v>
      </c>
      <c r="BO60" s="36">
        <f>IF(VLOOKUP($H60,'How the score is generated (H)'!$B$4:$H$73,6,0)="ü",$S60,0)</f>
        <v>0</v>
      </c>
      <c r="BP60" s="145">
        <f>IF(OR($M60=0,$N60=2),0,IF(VLOOKUP($H60,'How the score is generated (H)'!$B$4:$H$73,6,0)="ü",2,0))</f>
        <v>2</v>
      </c>
      <c r="BQ60" s="35">
        <f>IF(VLOOKUP($H60,'How the score is generated (H)'!$B$4:$H$73,7,0)="ü",$Q60,0)</f>
        <v>0</v>
      </c>
      <c r="BR60" s="36">
        <f>IF(VLOOKUP($H60,'How the score is generated (H)'!$B$4:$H$73,7,0)="ü",$S60,0)</f>
        <v>0</v>
      </c>
      <c r="BS60" s="145">
        <f>IF(OR($M60=0,$N60=2),0,IF(VLOOKUP($H60,'How the score is generated (H)'!$B$4:$H$73,7,0)="ü",2,0))</f>
        <v>0</v>
      </c>
      <c r="BT60" s="23"/>
      <c r="BU60" s="35">
        <f>IF(VLOOKUP($H60,'How the score is generated (P)'!$B$4:$H$73,2,0)="ü",$Q60,0)</f>
        <v>0</v>
      </c>
      <c r="BV60" s="36">
        <f>IF(VLOOKUP($H60,'How the score is generated (P)'!$B$4:$H$73,2,0)="ü",$S60,0)</f>
        <v>0</v>
      </c>
      <c r="BW60" s="145">
        <f>IF(OR($M60=0,$N60=2),0,IF(VLOOKUP($H60,'How the score is generated (P)'!$B$4:$I$73,2,0)="ü",2,0))</f>
        <v>2</v>
      </c>
      <c r="BX60" s="35">
        <f>IF(VLOOKUP($H60,'How the score is generated (P)'!$B$4:$H$73,3,0)="ü",$Q60,0)</f>
        <v>0</v>
      </c>
      <c r="BY60" s="36">
        <f>IF(VLOOKUP($H60,'How the score is generated (P)'!$B$4:$H$73,3,0)="ü",$S60,0)</f>
        <v>0</v>
      </c>
      <c r="BZ60" s="145">
        <f>IF(OR($M60=0,$N60=2),0,IF(VLOOKUP($H60,'How the score is generated (P)'!$B$4:$I$73,3,0)="ü",2,0))</f>
        <v>0</v>
      </c>
      <c r="CA60" s="35">
        <f>IF(VLOOKUP($H60,'How the score is generated (P)'!$B$4:$H$73,4,0)="ü",$Q60,0)</f>
        <v>0</v>
      </c>
      <c r="CB60" s="36">
        <f>IF(VLOOKUP($H60,'How the score is generated (P)'!$B$4:$H$73,4,0)="ü",$S60,0)</f>
        <v>0</v>
      </c>
      <c r="CC60" s="145">
        <f>IF(OR($M60=0,$N60=2),0,IF(VLOOKUP($H60,'How the score is generated (P)'!$B$4:$I$73,4,0)="ü",2,0))</f>
        <v>2</v>
      </c>
      <c r="CD60" s="35">
        <f>IF(VLOOKUP($H60,'How the score is generated (P)'!$B$4:$H$73,5,0)="ü",$Q60,0)</f>
        <v>0</v>
      </c>
      <c r="CE60" s="36">
        <f>IF(VLOOKUP($H60,'How the score is generated (P)'!$B$4:$H$73,5,0)="ü",$S60,0)</f>
        <v>0</v>
      </c>
      <c r="CF60" s="145">
        <f>IF(OR($M60=0,$N60=2),0,IF(VLOOKUP($H60,'How the score is generated (P)'!$B$4:$I$73,5,0)="ü",2,0))</f>
        <v>2</v>
      </c>
      <c r="CG60" s="35">
        <f>IF(VLOOKUP($H60,'How the score is generated (P)'!$B$4:$H$73,6,0)="ü",$Q60,0)</f>
        <v>0</v>
      </c>
      <c r="CH60" s="36">
        <f>IF(VLOOKUP($H60,'How the score is generated (P)'!$B$4:$H$73,6,0)="ü",$S60,0)</f>
        <v>0</v>
      </c>
      <c r="CI60" s="145">
        <f>IF(OR($M60=0,$N60=2),0,IF(VLOOKUP($H60,'How the score is generated (P)'!$B$4:$I$73,6,0)="ü",2,0))</f>
        <v>2</v>
      </c>
      <c r="CJ60" s="35">
        <f>IF(VLOOKUP($H60,'How the score is generated (P)'!$B$4:$H$73,7,0)="ü",$Q60,0)</f>
        <v>0</v>
      </c>
      <c r="CK60" s="36">
        <f>IF(VLOOKUP($H60,'How the score is generated (P)'!$B$4:$H$73,7,0)="ü",$S60,0)</f>
        <v>0</v>
      </c>
      <c r="CL60" s="145">
        <f>IF(OR($M60=0,$N60=2),0,IF(VLOOKUP($H60,'How the score is generated (P)'!$B$4:$I$73,7,0)="ü",2,0))</f>
        <v>2</v>
      </c>
      <c r="CM60" s="35">
        <f>IF(VLOOKUP($H60,'How the score is generated (P)'!$B$4:$I$73,8,0)="ü",$Q60,0)</f>
        <v>0</v>
      </c>
      <c r="CN60" s="36">
        <f>IF(VLOOKUP($H60,'How the score is generated (P)'!$B$4:$I$73,8,0)="ü",$S60,0)</f>
        <v>0</v>
      </c>
      <c r="CO60" s="239">
        <f>IF(OR($M60=0,$N60=2),0,IF(VLOOKUP($H60,'How the score is generated (P)'!$B$4:$I$73,8,0)="ü",2,0))</f>
        <v>2</v>
      </c>
      <c r="CP60" s="300"/>
    </row>
    <row r="61" spans="1:190" ht="112" customHeight="1" thickBot="1" x14ac:dyDescent="0.4">
      <c r="A61" s="23"/>
      <c r="B61" s="76"/>
      <c r="C61" s="69" t="str">
        <f>Validation!$S$6</f>
        <v xml:space="preserve">Group 5. Street environment and design </v>
      </c>
      <c r="D61" s="165">
        <f>D60+1</f>
        <v>42</v>
      </c>
      <c r="E61" s="166" t="s">
        <v>43</v>
      </c>
      <c r="F61" s="199" t="s">
        <v>43</v>
      </c>
      <c r="G61" s="177" t="s">
        <v>203</v>
      </c>
      <c r="H61" s="178" t="s">
        <v>204</v>
      </c>
      <c r="I61" s="390" t="s">
        <v>896</v>
      </c>
      <c r="J61" s="178" t="s">
        <v>205</v>
      </c>
      <c r="K61" s="178" t="s">
        <v>206</v>
      </c>
      <c r="L61" s="430" t="s">
        <v>1032</v>
      </c>
      <c r="M61" s="425">
        <f>IF(Project!$B$27="Off-Street",0,1)</f>
        <v>1</v>
      </c>
      <c r="N61" s="425">
        <f t="shared" si="22"/>
        <v>0</v>
      </c>
      <c r="O61" s="426"/>
      <c r="P61" s="144"/>
      <c r="Q61" s="441">
        <f>IF(OR($M61=0,$O61="N/A"),"NA",VLOOKUP($O61,Validation!$D$2:$E$7,2,0))</f>
        <v>0</v>
      </c>
      <c r="R61" s="129">
        <f t="shared" si="23"/>
        <v>2</v>
      </c>
      <c r="S61" s="441">
        <f>IF(OR($M61=0,$P61="N/A"),"NA",VLOOKUP($P61,Validation!$D$2:$E$7,2,0))</f>
        <v>0</v>
      </c>
      <c r="T61" s="34">
        <f t="shared" si="24"/>
        <v>2</v>
      </c>
      <c r="U61" s="35">
        <f>IF(VLOOKUP($H61,'How the score is generated'!$B$4:$I$73,2,0)="ü",$Q61,0)</f>
        <v>0</v>
      </c>
      <c r="V61" s="36">
        <f>IF(VLOOKUP($H61,'How the score is generated'!$B$4:$I$73,2,0)="ü",$S61,0)</f>
        <v>0</v>
      </c>
      <c r="W61" s="145">
        <f>IF(OR($M61=0,$N61=2),0,IF(VLOOKUP($H61,'How the score is generated'!$B$4:$I$73,2,0)="ü",2,0))</f>
        <v>2</v>
      </c>
      <c r="X61" s="35">
        <f>IF(VLOOKUP($H61,'How the score is generated'!$B$4:$I$73,3,0)="ü",$Q61,0)</f>
        <v>0</v>
      </c>
      <c r="Y61" s="36">
        <f>IF(VLOOKUP($H61,'How the score is generated'!$B$4:$I$73,3,0)="ü",$S61,0)</f>
        <v>0</v>
      </c>
      <c r="Z61" s="145">
        <f>IF(OR($M61=0,$N61=2),0,IF(VLOOKUP($H61,'How the score is generated'!$B$4:$I$73,3,0)="ü",2,0))</f>
        <v>0</v>
      </c>
      <c r="AA61" s="35">
        <f>IF(VLOOKUP($H61,'How the score is generated'!$B$4:$I$73,4,0)="ü",$Q61,0)</f>
        <v>0</v>
      </c>
      <c r="AB61" s="36">
        <f>IF(VLOOKUP($H61,'How the score is generated'!$B$4:$I$73,4,0)="ü",$S61,0)</f>
        <v>0</v>
      </c>
      <c r="AC61" s="145">
        <f>IF(OR($M61=0,$N61=2),0,IF(VLOOKUP($H61,'How the score is generated'!$B$4:$I$73,4,0)="ü",2,0))</f>
        <v>0</v>
      </c>
      <c r="AD61" s="35">
        <f>IF(VLOOKUP($H61,'How the score is generated'!$B$4:$I$73,5,0)="ü",$Q61,0)</f>
        <v>0</v>
      </c>
      <c r="AE61" s="36">
        <f>IF(VLOOKUP($H61,'How the score is generated'!$B$4:$I$73,5,0)="ü",$S61,0)</f>
        <v>0</v>
      </c>
      <c r="AF61" s="145">
        <f>IF(OR($M61=0,$N61=2),0,IF(VLOOKUP($H61,'How the score is generated'!$B$4:$I$73,5,0)="ü",2,0))</f>
        <v>0</v>
      </c>
      <c r="AG61" s="35">
        <f>IF(VLOOKUP($H61,'How the score is generated'!$B$4:$I$73,6,0)="ü",$Q61,0)</f>
        <v>0</v>
      </c>
      <c r="AH61" s="36">
        <f>IF(VLOOKUP($H61,'How the score is generated'!$B$4:$I$73,6,0)="ü",$S61,0)</f>
        <v>0</v>
      </c>
      <c r="AI61" s="145">
        <f>IF(OR($M61=0,$N61=2),0,IF(VLOOKUP($H61,'How the score is generated'!$B$4:$I$73,6,0)="ü",2,0))</f>
        <v>0</v>
      </c>
      <c r="AJ61" s="35">
        <f>IF(VLOOKUP($H61,'How the score is generated'!$B$4:$I$73,7,0)="ü",$Q61,0)</f>
        <v>0</v>
      </c>
      <c r="AK61" s="36">
        <f>IF(VLOOKUP($H61,'How the score is generated'!$B$4:$I$73,7,0)="ü",$S61,0)</f>
        <v>0</v>
      </c>
      <c r="AL61" s="145">
        <f>IF(OR($M61=0,$N61=2),0,IF(VLOOKUP($H61,'How the score is generated'!$B$4:$I$73,7,0)="ü",2,0))</f>
        <v>2</v>
      </c>
      <c r="AM61" s="35">
        <f>IF(VLOOKUP($H61,'How the score is generated'!$B$4:$I$73,8,0)="ü",$Q61,0)</f>
        <v>0</v>
      </c>
      <c r="AN61" s="36">
        <f>IF(VLOOKUP($H61,'How the score is generated'!$B$4:$I$73,8,0)="ü",$S61,0)</f>
        <v>0</v>
      </c>
      <c r="AO61" s="145">
        <f>IF(OR($M61=0,$N61=2),0,IF(VLOOKUP($H61,'How the score is generated'!$B$4:$I$73,8,0)="ü",2,0))</f>
        <v>0</v>
      </c>
      <c r="AP61" s="23"/>
      <c r="AQ61" s="407" t="s">
        <v>1191</v>
      </c>
      <c r="AR61" s="23"/>
      <c r="AS61" s="146"/>
      <c r="AW61" s="34"/>
      <c r="AX61" s="34" t="str">
        <f t="shared" si="25"/>
        <v/>
      </c>
      <c r="AY61" s="34" t="str">
        <f t="shared" si="26"/>
        <v/>
      </c>
      <c r="AZ61" s="34" t="str">
        <f t="shared" si="27"/>
        <v/>
      </c>
      <c r="BA61" s="34" t="str">
        <f t="shared" si="28"/>
        <v>42. Exposure to PM10 &amp; NOX  concentration</v>
      </c>
      <c r="BB61" s="35">
        <f>IF(VLOOKUP($H61,'How the score is generated (H)'!$B$4:$H$73,2,0)="ü",$Q61,0)</f>
        <v>0</v>
      </c>
      <c r="BC61" s="36">
        <f>IF(VLOOKUP($H61,'How the score is generated (H)'!$B$4:$H$73,2,0)="ü",$S61,0)</f>
        <v>0</v>
      </c>
      <c r="BD61" s="145">
        <f>IF(OR($M61=0,$N61=2),0,IF(VLOOKUP($H61,'How the score is generated (H)'!$B$4:$H$73,2,0)="ü",2,0))</f>
        <v>0</v>
      </c>
      <c r="BE61" s="35">
        <f>IF(VLOOKUP($H61,'How the score is generated (H)'!$B$4:$H$73,3,0)="ü",$Q61,0)</f>
        <v>0</v>
      </c>
      <c r="BF61" s="36">
        <f>IF(VLOOKUP($H61,'How the score is generated (H)'!$B$4:$H$73,3,0)="ü",$S61,0)</f>
        <v>0</v>
      </c>
      <c r="BG61" s="145">
        <f>IF(OR($M61=0,$N61=2),0,IF(VLOOKUP($H61,'How the score is generated (H)'!$B$4:$H$73,3,0)="ü",2,0))</f>
        <v>2</v>
      </c>
      <c r="BH61" s="35">
        <f>IF(VLOOKUP($H61,'How the score is generated (H)'!$B$4:$H$73,4,0)="ü",$Q61,0)</f>
        <v>0</v>
      </c>
      <c r="BI61" s="36">
        <f>IF(VLOOKUP($H61,'How the score is generated (H)'!$B$4:$H$73,4,0)="ü",$S61,0)</f>
        <v>0</v>
      </c>
      <c r="BJ61" s="145">
        <f>IF(OR($M61=0,$N61=2),0,IF(VLOOKUP($H61,'How the score is generated (H)'!$B$4:$H$73,4,0)="ü",2,0))</f>
        <v>2</v>
      </c>
      <c r="BK61" s="35">
        <f>IF(VLOOKUP($H61,'How the score is generated (H)'!$B$4:$H$73,5,0)="ü",$Q61,0)</f>
        <v>0</v>
      </c>
      <c r="BL61" s="36">
        <f>IF(VLOOKUP($H61,'How the score is generated (H)'!$B$4:$H$73,5,0)="ü",$S61,0)</f>
        <v>0</v>
      </c>
      <c r="BM61" s="145">
        <f>IF(OR($M61=0,$N61=2),0,IF(VLOOKUP($H61,'How the score is generated (H)'!$B$4:$H$73,5,0)="ü",2,0))</f>
        <v>2</v>
      </c>
      <c r="BN61" s="35">
        <f>IF(VLOOKUP($H61,'How the score is generated (H)'!$B$4:$H$73,6,0)="ü",$Q61,0)</f>
        <v>0</v>
      </c>
      <c r="BO61" s="36">
        <f>IF(VLOOKUP($H61,'How the score is generated (H)'!$B$4:$H$73,6,0)="ü",$S61,0)</f>
        <v>0</v>
      </c>
      <c r="BP61" s="145">
        <f>IF(OR($M61=0,$N61=2),0,IF(VLOOKUP($H61,'How the score is generated (H)'!$B$4:$H$73,6,0)="ü",2,0))</f>
        <v>2</v>
      </c>
      <c r="BQ61" s="35">
        <f>IF(VLOOKUP($H61,'How the score is generated (H)'!$B$4:$H$73,7,0)="ü",$Q61,0)</f>
        <v>0</v>
      </c>
      <c r="BR61" s="36">
        <f>IF(VLOOKUP($H61,'How the score is generated (H)'!$B$4:$H$73,7,0)="ü",$S61,0)</f>
        <v>0</v>
      </c>
      <c r="BS61" s="145">
        <f>IF(OR($M61=0,$N61=2),0,IF(VLOOKUP($H61,'How the score is generated (H)'!$B$4:$H$73,7,0)="ü",2,0))</f>
        <v>2</v>
      </c>
      <c r="BT61" s="23"/>
      <c r="BU61" s="35">
        <f>IF(VLOOKUP($H61,'How the score is generated (P)'!$B$4:$H$73,2,0)="ü",$Q61,0)</f>
        <v>0</v>
      </c>
      <c r="BV61" s="36">
        <f>IF(VLOOKUP($H61,'How the score is generated (P)'!$B$4:$H$73,2,0)="ü",$S61,0)</f>
        <v>0</v>
      </c>
      <c r="BW61" s="145">
        <f>IF(OR($M61=0,$N61=2),0,IF(VLOOKUP($H61,'How the score is generated (P)'!$B$4:$I$73,2,0)="ü",2,0))</f>
        <v>2</v>
      </c>
      <c r="BX61" s="35">
        <f>IF(VLOOKUP($H61,'How the score is generated (P)'!$B$4:$H$73,3,0)="ü",$Q61,0)</f>
        <v>0</v>
      </c>
      <c r="BY61" s="36">
        <f>IF(VLOOKUP($H61,'How the score is generated (P)'!$B$4:$H$73,3,0)="ü",$S61,0)</f>
        <v>0</v>
      </c>
      <c r="BZ61" s="145">
        <f>IF(OR($M61=0,$N61=2),0,IF(VLOOKUP($H61,'How the score is generated (P)'!$B$4:$I$73,3,0)="ü",2,0))</f>
        <v>2</v>
      </c>
      <c r="CA61" s="35">
        <f>IF(VLOOKUP($H61,'How the score is generated (P)'!$B$4:$H$73,4,0)="ü",$Q61,0)</f>
        <v>0</v>
      </c>
      <c r="CB61" s="36">
        <f>IF(VLOOKUP($H61,'How the score is generated (P)'!$B$4:$H$73,4,0)="ü",$S61,0)</f>
        <v>0</v>
      </c>
      <c r="CC61" s="145">
        <f>IF(OR($M61=0,$N61=2),0,IF(VLOOKUP($H61,'How the score is generated (P)'!$B$4:$I$73,4,0)="ü",2,0))</f>
        <v>2</v>
      </c>
      <c r="CD61" s="35">
        <f>IF(VLOOKUP($H61,'How the score is generated (P)'!$B$4:$H$73,5,0)="ü",$Q61,0)</f>
        <v>0</v>
      </c>
      <c r="CE61" s="36">
        <f>IF(VLOOKUP($H61,'How the score is generated (P)'!$B$4:$H$73,5,0)="ü",$S61,0)</f>
        <v>0</v>
      </c>
      <c r="CF61" s="145">
        <f>IF(OR($M61=0,$N61=2),0,IF(VLOOKUP($H61,'How the score is generated (P)'!$B$4:$I$73,5,0)="ü",2,0))</f>
        <v>2</v>
      </c>
      <c r="CG61" s="35">
        <f>IF(VLOOKUP($H61,'How the score is generated (P)'!$B$4:$H$73,6,0)="ü",$Q61,0)</f>
        <v>0</v>
      </c>
      <c r="CH61" s="36">
        <f>IF(VLOOKUP($H61,'How the score is generated (P)'!$B$4:$H$73,6,0)="ü",$S61,0)</f>
        <v>0</v>
      </c>
      <c r="CI61" s="145">
        <f>IF(OR($M61=0,$N61=2),0,IF(VLOOKUP($H61,'How the score is generated (P)'!$B$4:$I$73,6,0)="ü",2,0))</f>
        <v>2</v>
      </c>
      <c r="CJ61" s="35">
        <f>IF(VLOOKUP($H61,'How the score is generated (P)'!$B$4:$H$73,7,0)="ü",$Q61,0)</f>
        <v>0</v>
      </c>
      <c r="CK61" s="36">
        <f>IF(VLOOKUP($H61,'How the score is generated (P)'!$B$4:$H$73,7,0)="ü",$S61,0)</f>
        <v>0</v>
      </c>
      <c r="CL61" s="145">
        <f>IF(OR($M61=0,$N61=2),0,IF(VLOOKUP($H61,'How the score is generated (P)'!$B$4:$I$73,7,0)="ü",2,0))</f>
        <v>2</v>
      </c>
      <c r="CM61" s="35">
        <f>IF(VLOOKUP($H61,'How the score is generated (P)'!$B$4:$I$73,8,0)="ü",$Q61,0)</f>
        <v>0</v>
      </c>
      <c r="CN61" s="36">
        <f>IF(VLOOKUP($H61,'How the score is generated (P)'!$B$4:$I$73,8,0)="ü",$S61,0)</f>
        <v>0</v>
      </c>
      <c r="CO61" s="239">
        <f>IF(OR($M61=0,$N61=2),0,IF(VLOOKUP($H61,'How the score is generated (P)'!$B$4:$I$73,8,0)="ü",2,0))</f>
        <v>2</v>
      </c>
      <c r="CP61" s="300" t="s">
        <v>1127</v>
      </c>
    </row>
    <row r="62" spans="1:190" ht="15" hidden="1" thickBot="1" x14ac:dyDescent="0.4">
      <c r="A62" s="23"/>
      <c r="B62" s="31"/>
      <c r="C62" s="53"/>
      <c r="D62" s="47"/>
      <c r="E62" s="47"/>
      <c r="F62" s="47"/>
      <c r="G62" s="171" t="s">
        <v>942</v>
      </c>
      <c r="H62" s="172"/>
      <c r="I62" s="172"/>
      <c r="J62" s="172"/>
      <c r="K62" s="172"/>
      <c r="L62" s="412"/>
      <c r="M62" s="48"/>
      <c r="N62" s="48"/>
      <c r="O62" s="49" t="str">
        <f>Q62&amp;"/"&amp;R62</f>
        <v>0/26</v>
      </c>
      <c r="P62" s="50" t="str">
        <f>S62&amp;"/"&amp;T62</f>
        <v>0/26</v>
      </c>
      <c r="Q62" s="51">
        <f>SUM(Q49:Q61)</f>
        <v>0</v>
      </c>
      <c r="R62" s="51">
        <f>SUM(R49:R61)</f>
        <v>26</v>
      </c>
      <c r="S62" s="51">
        <f>SUM(S49:S61)</f>
        <v>0</v>
      </c>
      <c r="T62" s="51">
        <f>SUM(T49:T61)</f>
        <v>26</v>
      </c>
      <c r="U62" s="54"/>
      <c r="V62" s="23"/>
      <c r="W62" s="23"/>
      <c r="X62" s="54"/>
      <c r="Y62" s="23"/>
      <c r="Z62" s="23"/>
      <c r="AA62" s="54"/>
      <c r="AB62" s="23"/>
      <c r="AC62" s="23"/>
      <c r="AD62" s="54"/>
      <c r="AE62" s="23"/>
      <c r="AF62" s="23"/>
      <c r="AG62" s="54"/>
      <c r="AH62" s="23"/>
      <c r="AI62" s="23"/>
      <c r="AJ62" s="54"/>
      <c r="AK62" s="23"/>
      <c r="AL62" s="23"/>
      <c r="AM62" s="54"/>
      <c r="AN62" s="23"/>
      <c r="AO62" s="23"/>
      <c r="AP62" s="23"/>
      <c r="AQ62" s="76"/>
      <c r="AR62" s="23"/>
      <c r="AS62" s="321"/>
      <c r="AW62" s="61"/>
      <c r="AX62" s="61"/>
      <c r="AY62" s="61"/>
      <c r="AZ62" s="61"/>
      <c r="BA62" s="61"/>
      <c r="BB62" s="23"/>
      <c r="BC62" s="23"/>
      <c r="BD62" s="23"/>
      <c r="BE62" s="23"/>
      <c r="BF62" s="23"/>
      <c r="BG62" s="23"/>
      <c r="BH62" s="23"/>
      <c r="BI62" s="23"/>
      <c r="BJ62" s="23"/>
      <c r="BK62" s="23"/>
      <c r="BL62" s="23"/>
      <c r="BM62" s="23"/>
      <c r="BN62" s="23"/>
      <c r="BO62" s="23"/>
      <c r="BP62" s="145">
        <f>IF(OR($M62=0,$N62=2),0,IF(VLOOKUP($H62,'How the score is generated (H)'!$B$4:$H$73,6,0)="ü",2,0))</f>
        <v>0</v>
      </c>
      <c r="BQ62" s="23"/>
      <c r="BR62" s="23"/>
      <c r="BS62" s="145">
        <f>IF(OR($M62=0,$N62=2),0,IF(VLOOKUP($H62,'How the score is generated (H)'!$B$4:$H$73,7,0)="ü",2,0))</f>
        <v>0</v>
      </c>
      <c r="BT62" s="23"/>
      <c r="BU62" s="23"/>
      <c r="BV62" s="23"/>
      <c r="BW62" s="145">
        <f>IF(OR($M62=0,$N62=2),0,IF(VLOOKUP($H62,'How the score is generated (P)'!$B$4:$I$73,2,0)="ü",2,0))</f>
        <v>0</v>
      </c>
      <c r="BX62" s="23"/>
      <c r="BY62" s="23"/>
      <c r="BZ62" s="145">
        <f>IF(OR($M62=0,$N62=2),0,IF(VLOOKUP($H62,'How the score is generated (P)'!$B$4:$I$73,3,0)="ü",2,0))</f>
        <v>0</v>
      </c>
      <c r="CA62" s="23"/>
      <c r="CB62" s="23"/>
      <c r="CC62" s="145">
        <f>IF(OR($M62=0,$N62=2),0,IF(VLOOKUP($H62,'How the score is generated (P)'!$B$4:$I$73,4,0)="ü",2,0))</f>
        <v>0</v>
      </c>
      <c r="CD62" s="23"/>
      <c r="CE62" s="23"/>
      <c r="CF62" s="145">
        <f>IF(OR($M62=0,$N62=2),0,IF(VLOOKUP($H62,'How the score is generated (P)'!$B$4:$I$73,5,0)="ü",2,0))</f>
        <v>0</v>
      </c>
      <c r="CG62" s="23"/>
      <c r="CH62" s="23"/>
      <c r="CI62" s="145">
        <f>IF(OR($M62=0,$N62=2),0,IF(VLOOKUP($H62,'How the score is generated (P)'!$B$4:$I$73,6,0)="ü",2,0))</f>
        <v>0</v>
      </c>
      <c r="CJ62" s="23"/>
      <c r="CK62" s="23"/>
      <c r="CL62" s="23"/>
      <c r="CM62" s="23"/>
      <c r="CN62" s="23"/>
      <c r="CO62" s="23"/>
    </row>
    <row r="63" spans="1:190" ht="21.5" thickBot="1" x14ac:dyDescent="0.4">
      <c r="A63" s="23"/>
      <c r="B63" s="77"/>
      <c r="C63" s="78"/>
      <c r="D63" s="53"/>
      <c r="E63" s="53"/>
      <c r="F63" s="53"/>
      <c r="G63" s="74"/>
      <c r="H63" s="74"/>
      <c r="I63" s="424"/>
      <c r="J63" s="61"/>
      <c r="K63" s="61"/>
      <c r="L63" s="61"/>
      <c r="M63" s="61"/>
      <c r="N63" s="61"/>
      <c r="O63" s="61"/>
      <c r="P63" s="61"/>
      <c r="Q63" s="61"/>
      <c r="R63" s="61"/>
      <c r="S63" s="61"/>
      <c r="T63" s="61"/>
      <c r="U63" s="54"/>
      <c r="V63" s="23"/>
      <c r="W63" s="23"/>
      <c r="X63" s="54"/>
      <c r="Y63" s="23"/>
      <c r="Z63" s="23"/>
      <c r="AA63" s="54"/>
      <c r="AB63" s="23"/>
      <c r="AC63" s="23"/>
      <c r="AD63" s="54"/>
      <c r="AE63" s="23"/>
      <c r="AF63" s="23"/>
      <c r="AG63" s="54"/>
      <c r="AH63" s="23"/>
      <c r="AI63" s="23"/>
      <c r="AJ63" s="54"/>
      <c r="AK63" s="23"/>
      <c r="AL63" s="23"/>
      <c r="AM63" s="54"/>
      <c r="AN63" s="23"/>
      <c r="AO63" s="23"/>
      <c r="AP63" s="23"/>
      <c r="AQ63" s="76"/>
      <c r="AR63" s="23"/>
      <c r="AS63" s="321"/>
      <c r="AW63" s="30"/>
      <c r="AX63" s="30"/>
      <c r="AY63" s="30"/>
      <c r="AZ63" s="30"/>
      <c r="BA63" s="30"/>
      <c r="BB63" s="54"/>
      <c r="BC63" s="23"/>
      <c r="BD63" s="23"/>
      <c r="BE63" s="54"/>
      <c r="BF63" s="23"/>
      <c r="BG63" s="23"/>
      <c r="BH63" s="54"/>
      <c r="BI63" s="23"/>
      <c r="BJ63" s="23"/>
      <c r="BK63" s="54"/>
      <c r="BL63" s="23"/>
      <c r="BM63" s="23"/>
      <c r="BN63" s="54"/>
      <c r="BO63" s="23"/>
      <c r="BP63" s="23"/>
      <c r="BQ63" s="54"/>
      <c r="BR63" s="23"/>
      <c r="BS63" s="23"/>
      <c r="BT63" s="23"/>
      <c r="BU63" s="54"/>
      <c r="BV63" s="23"/>
      <c r="BW63" s="23"/>
      <c r="BX63" s="54"/>
      <c r="BY63" s="23"/>
      <c r="BZ63" s="23"/>
      <c r="CA63" s="54"/>
      <c r="CB63" s="23"/>
      <c r="CC63" s="23"/>
      <c r="CD63" s="54"/>
      <c r="CE63" s="23"/>
      <c r="CF63" s="23"/>
      <c r="CG63" s="54"/>
      <c r="CH63" s="23"/>
      <c r="CI63" s="23"/>
      <c r="CJ63" s="54"/>
      <c r="CK63" s="23"/>
      <c r="CL63" s="23"/>
      <c r="CM63" s="23"/>
      <c r="CN63" s="23"/>
      <c r="CO63" s="23"/>
    </row>
    <row r="64" spans="1:190" ht="16" thickBot="1" x14ac:dyDescent="0.4">
      <c r="A64" s="23"/>
      <c r="B64" s="77"/>
      <c r="C64" s="78"/>
      <c r="D64" s="78"/>
      <c r="E64" s="78"/>
      <c r="F64" s="78"/>
      <c r="G64" s="523" t="s">
        <v>1231</v>
      </c>
      <c r="H64" s="523"/>
      <c r="I64" s="523"/>
      <c r="J64" s="523"/>
      <c r="K64" s="523"/>
      <c r="L64" s="523"/>
      <c r="M64" s="28"/>
      <c r="N64" s="28"/>
      <c r="O64" s="28" t="s">
        <v>32</v>
      </c>
      <c r="P64" s="29" t="s">
        <v>33</v>
      </c>
      <c r="Q64" s="30"/>
      <c r="R64" s="30"/>
      <c r="S64" s="30"/>
      <c r="T64" s="30"/>
      <c r="U64" s="54"/>
      <c r="V64" s="23"/>
      <c r="W64" s="23"/>
      <c r="X64" s="54"/>
      <c r="Y64" s="23"/>
      <c r="Z64" s="23"/>
      <c r="AA64" s="54"/>
      <c r="AB64" s="23"/>
      <c r="AC64" s="23"/>
      <c r="AD64" s="54"/>
      <c r="AE64" s="23"/>
      <c r="AF64" s="23"/>
      <c r="AG64" s="54"/>
      <c r="AH64" s="23"/>
      <c r="AI64" s="23"/>
      <c r="AJ64" s="54"/>
      <c r="AK64" s="23"/>
      <c r="AL64" s="23"/>
      <c r="AM64" s="54"/>
      <c r="AN64" s="23"/>
      <c r="AO64" s="23"/>
      <c r="AP64" s="23"/>
      <c r="AQ64" s="76"/>
      <c r="AR64" s="23"/>
      <c r="AS64" s="321"/>
      <c r="AW64" s="30"/>
      <c r="AX64" s="30"/>
      <c r="AY64" s="30"/>
      <c r="AZ64" s="30"/>
      <c r="BA64" s="30"/>
      <c r="BB64" s="54"/>
      <c r="BC64" s="23"/>
      <c r="BD64" s="23"/>
      <c r="BE64" s="54"/>
      <c r="BF64" s="23"/>
      <c r="BG64" s="23"/>
      <c r="BH64" s="54"/>
      <c r="BI64" s="23"/>
      <c r="BJ64" s="23"/>
      <c r="BK64" s="54"/>
      <c r="BL64" s="23"/>
      <c r="BM64" s="23"/>
      <c r="BN64" s="54"/>
      <c r="BO64" s="23"/>
      <c r="BP64" s="23"/>
      <c r="BQ64" s="54"/>
      <c r="BR64" s="23"/>
      <c r="BS64" s="23"/>
      <c r="BT64" s="23"/>
      <c r="BU64" s="54"/>
      <c r="BV64" s="23"/>
      <c r="BW64" s="23"/>
      <c r="BX64" s="54"/>
      <c r="BY64" s="23"/>
      <c r="BZ64" s="23"/>
      <c r="CA64" s="54"/>
      <c r="CB64" s="23"/>
      <c r="CC64" s="23"/>
      <c r="CD64" s="54"/>
      <c r="CE64" s="23"/>
      <c r="CF64" s="23"/>
      <c r="CG64" s="54"/>
      <c r="CH64" s="23"/>
      <c r="CI64" s="23"/>
      <c r="CJ64" s="54"/>
      <c r="CK64" s="23"/>
      <c r="CL64" s="23"/>
      <c r="CM64" s="23"/>
      <c r="CN64" s="23"/>
      <c r="CO64" s="23"/>
    </row>
    <row r="65" spans="1:94" ht="15" thickBot="1" x14ac:dyDescent="0.4">
      <c r="A65" s="23"/>
      <c r="B65" s="31"/>
      <c r="C65" s="78"/>
      <c r="D65" s="78"/>
      <c r="E65" s="78"/>
      <c r="F65" s="78"/>
      <c r="G65" s="493" t="s">
        <v>879</v>
      </c>
      <c r="H65" s="493"/>
      <c r="I65" s="493"/>
      <c r="J65" s="493"/>
      <c r="K65" s="493"/>
      <c r="L65" s="493"/>
      <c r="M65" s="79"/>
      <c r="N65" s="79"/>
      <c r="O65" s="79"/>
      <c r="P65" s="80"/>
      <c r="Q65" s="81"/>
      <c r="R65" s="81"/>
      <c r="S65" s="81"/>
      <c r="T65" s="81"/>
      <c r="U65" s="54"/>
      <c r="V65" s="23"/>
      <c r="W65" s="23"/>
      <c r="X65" s="54"/>
      <c r="Y65" s="23"/>
      <c r="Z65" s="23"/>
      <c r="AA65" s="54"/>
      <c r="AB65" s="23"/>
      <c r="AC65" s="23"/>
      <c r="AD65" s="54"/>
      <c r="AE65" s="23"/>
      <c r="AF65" s="23"/>
      <c r="AG65" s="54"/>
      <c r="AH65" s="23"/>
      <c r="AI65" s="23"/>
      <c r="AJ65" s="54"/>
      <c r="AK65" s="23"/>
      <c r="AL65" s="23"/>
      <c r="AM65" s="54"/>
      <c r="AN65" s="23"/>
      <c r="AO65" s="23"/>
      <c r="AP65" s="23"/>
      <c r="AQ65" s="76"/>
      <c r="AR65" s="23"/>
      <c r="AS65" s="321"/>
      <c r="AW65" s="81"/>
      <c r="AX65" s="81"/>
      <c r="AY65" s="81" t="str">
        <f>IF(M66=0,"",IF(O66="","",O66))</f>
        <v/>
      </c>
      <c r="AZ65" s="81" t="str">
        <f>IF(M66=0,"",IF(P66="","",P66))</f>
        <v/>
      </c>
      <c r="BA65" s="81"/>
      <c r="BB65" s="54"/>
      <c r="BC65" s="23"/>
      <c r="BD65" s="23"/>
      <c r="BE65" s="54"/>
      <c r="BF65" s="23"/>
      <c r="BG65" s="23"/>
      <c r="BH65" s="54"/>
      <c r="BI65" s="23"/>
      <c r="BJ65" s="23"/>
      <c r="BK65" s="54"/>
      <c r="BL65" s="23"/>
      <c r="BM65" s="23"/>
      <c r="BN65" s="54"/>
      <c r="BO65" s="23"/>
      <c r="BP65" s="23"/>
      <c r="BQ65" s="54"/>
      <c r="BR65" s="23"/>
      <c r="BS65" s="23"/>
      <c r="BT65" s="23"/>
      <c r="BU65" s="54"/>
      <c r="BV65" s="23"/>
      <c r="BW65" s="23"/>
      <c r="BX65" s="54"/>
      <c r="BY65" s="23"/>
      <c r="BZ65" s="23"/>
      <c r="CA65" s="54"/>
      <c r="CB65" s="23"/>
      <c r="CC65" s="23"/>
      <c r="CD65" s="54"/>
      <c r="CE65" s="23"/>
      <c r="CF65" s="23"/>
      <c r="CG65" s="54"/>
      <c r="CH65" s="23"/>
      <c r="CI65" s="23"/>
      <c r="CJ65" s="54"/>
      <c r="CK65" s="23"/>
      <c r="CL65" s="23"/>
      <c r="CM65" s="23"/>
      <c r="CN65" s="23"/>
      <c r="CO65" s="23"/>
    </row>
    <row r="66" spans="1:94" ht="91.5" customHeight="1" thickBot="1" x14ac:dyDescent="0.4">
      <c r="A66" s="23"/>
      <c r="B66" s="31"/>
      <c r="C66" s="181" t="str">
        <f>Validation!$S$7</f>
        <v xml:space="preserve">Group 6. Public transport </v>
      </c>
      <c r="D66" s="163">
        <f>D61+1</f>
        <v>43</v>
      </c>
      <c r="E66" s="197" t="s">
        <v>43</v>
      </c>
      <c r="F66" s="220" t="s">
        <v>20</v>
      </c>
      <c r="G66" s="214" t="s">
        <v>884</v>
      </c>
      <c r="H66" s="215" t="s">
        <v>1192</v>
      </c>
      <c r="I66" s="455" t="s">
        <v>896</v>
      </c>
      <c r="J66" s="215" t="s">
        <v>1234</v>
      </c>
      <c r="K66" s="215" t="s">
        <v>1233</v>
      </c>
      <c r="L66" s="217" t="s">
        <v>1232</v>
      </c>
      <c r="M66" s="170">
        <f>IF(Project!$B$27="Off-Street",0,IF(Project!$B$37="Yes",1,0))</f>
        <v>1</v>
      </c>
      <c r="N66" s="425">
        <f t="shared" ref="N66:N79" si="30">IF(AND(O66="N/A",P66="N/A"),2,0)</f>
        <v>0</v>
      </c>
      <c r="O66" s="144"/>
      <c r="P66" s="144"/>
      <c r="Q66" s="441">
        <f>IF(OR($M66=0,$O66="N/A"),"NA",VLOOKUP($O66,Validation!$D$2:$E$7,2,0))</f>
        <v>0</v>
      </c>
      <c r="R66" s="129">
        <f t="shared" ref="R66:R79" si="31">IF(OR($M66=0,$O66="N/A"),0,2)</f>
        <v>2</v>
      </c>
      <c r="S66" s="441">
        <f>IF(OR($M66=0,$P66="N/A"),"NA",VLOOKUP($P66,Validation!$D$2:$E$7,2,0))</f>
        <v>0</v>
      </c>
      <c r="T66" s="34">
        <f t="shared" ref="T66:T79" si="32">IF(OR($M66=0,$P66="N/A"),0,2)</f>
        <v>2</v>
      </c>
      <c r="U66" s="35">
        <f>IF(VLOOKUP($H66,'How the score is generated'!$B$4:$I$73,2,0)="ü",$Q66,0)</f>
        <v>0</v>
      </c>
      <c r="V66" s="36">
        <f>IF(VLOOKUP($H66,'How the score is generated'!$B$4:$I$73,2,0)="ü",$S66,0)</f>
        <v>0</v>
      </c>
      <c r="W66" s="145">
        <f>IF(OR($M66=0,$N66=2),0,IF(VLOOKUP($H66,'How the score is generated'!$B$4:$I$73,2,0)="ü",2,0))</f>
        <v>0</v>
      </c>
      <c r="X66" s="35">
        <f>IF(VLOOKUP($H66,'How the score is generated'!$B$4:$I$73,3,0)="ü",$Q66,0)</f>
        <v>0</v>
      </c>
      <c r="Y66" s="36">
        <f>IF(VLOOKUP($H66,'How the score is generated'!$B$4:$I$73,3,0)="ü",$S66,0)</f>
        <v>0</v>
      </c>
      <c r="Z66" s="145">
        <f>IF(OR($M66=0,$N66=2),0,IF(VLOOKUP($H66,'How the score is generated'!$B$4:$I$73,3,0)="ü",2,0))</f>
        <v>0</v>
      </c>
      <c r="AA66" s="35">
        <f>IF(VLOOKUP($H66,'How the score is generated'!$B$4:$I$73,4,0)="ü",$Q66,0)</f>
        <v>0</v>
      </c>
      <c r="AB66" s="36">
        <f>IF(VLOOKUP($H66,'How the score is generated'!$B$4:$I$73,4,0)="ü",$S66,0)</f>
        <v>0</v>
      </c>
      <c r="AC66" s="145">
        <f>IF(OR($M66=0,$N66=2),0,IF(VLOOKUP($H66,'How the score is generated'!$B$4:$I$73,4,0)="ü",2,0))</f>
        <v>2</v>
      </c>
      <c r="AD66" s="35">
        <f>IF(VLOOKUP($H66,'How the score is generated'!$B$4:$I$73,5,0)="ü",$Q66,0)</f>
        <v>0</v>
      </c>
      <c r="AE66" s="36">
        <f>IF(VLOOKUP($H66,'How the score is generated'!$B$4:$I$73,5,0)="ü",$S66,0)</f>
        <v>0</v>
      </c>
      <c r="AF66" s="145">
        <f>IF(OR($M66=0,$N66=2),0,IF(VLOOKUP($H66,'How the score is generated'!$B$4:$I$73,5,0)="ü",2,0))</f>
        <v>0</v>
      </c>
      <c r="AG66" s="35">
        <f>IF(VLOOKUP($H66,'How the score is generated'!$B$4:$I$73,6,0)="ü",$Q66,0)</f>
        <v>0</v>
      </c>
      <c r="AH66" s="36">
        <f>IF(VLOOKUP($H66,'How the score is generated'!$B$4:$I$73,6,0)="ü",$S66,0)</f>
        <v>0</v>
      </c>
      <c r="AI66" s="145">
        <f>IF(OR($M66=0,$N66=2),0,IF(VLOOKUP($H66,'How the score is generated'!$B$4:$I$73,6,0)="ü",2,0))</f>
        <v>0</v>
      </c>
      <c r="AJ66" s="35">
        <f>IF(VLOOKUP($H66,'How the score is generated'!$B$4:$I$73,7,0)="ü",$Q66,0)</f>
        <v>0</v>
      </c>
      <c r="AK66" s="36">
        <f>IF(VLOOKUP($H66,'How the score is generated'!$B$4:$I$73,7,0)="ü",$S66,0)</f>
        <v>0</v>
      </c>
      <c r="AL66" s="145">
        <f>IF(OR($M66=0,$N66=2),0,IF(VLOOKUP($H66,'How the score is generated'!$B$4:$I$73,7,0)="ü",2,0))</f>
        <v>0</v>
      </c>
      <c r="AM66" s="35">
        <f>IF(VLOOKUP($H66,'How the score is generated'!$B$4:$I$73,8,0)="ü",$Q66,0)</f>
        <v>0</v>
      </c>
      <c r="AN66" s="36">
        <f>IF(VLOOKUP($H66,'How the score is generated'!$B$4:$I$73,8,0)="ü",$S66,0)</f>
        <v>0</v>
      </c>
      <c r="AO66" s="145">
        <f>IF(OR($M66=0,$N66=2),0,IF(VLOOKUP($H66,'How the score is generated'!$B$4:$I$73,8,0)="ü",2,0))</f>
        <v>0</v>
      </c>
      <c r="AP66" s="23"/>
      <c r="AQ66" s="404"/>
      <c r="AR66" s="23"/>
      <c r="AS66" s="146"/>
      <c r="AW66" s="34" t="s">
        <v>177</v>
      </c>
      <c r="AX66" s="34" t="str">
        <f>IF(AW66="Amber",IF(S66=0,"Residual Amber",""),"")</f>
        <v>Residual Amber</v>
      </c>
      <c r="AY66" s="34" t="str">
        <f>IF(M66=0,"",IF(O66="","",O66))</f>
        <v/>
      </c>
      <c r="AZ66" s="34" t="str">
        <f>IF(M66=0,"",IF(P66="","",P66))</f>
        <v/>
      </c>
      <c r="BA66" s="34" t="str">
        <f>D66&amp;". "&amp;H66</f>
        <v>43. Cycle access to and cycle parking at public transport facility</v>
      </c>
      <c r="BB66" s="35">
        <f>IF(VLOOKUP($H66,'How the score is generated (H)'!$B$4:$H$73,2,0)="ü",$Q66,0)</f>
        <v>0</v>
      </c>
      <c r="BC66" s="36">
        <f>IF(VLOOKUP($H66,'How the score is generated (H)'!$B$4:$H$73,2,0)="ü",$S66,0)</f>
        <v>0</v>
      </c>
      <c r="BD66" s="145">
        <f>IF(OR($M66=0,$N66=2),0,IF(VLOOKUP($H66,'How the score is generated (H)'!$B$4:$H$73,2,0)="ü",2,0))</f>
        <v>0</v>
      </c>
      <c r="BE66" s="35">
        <f>IF(VLOOKUP($H66,'How the score is generated (H)'!$B$4:$H$73,3,0)="ü",$Q66,0)</f>
        <v>0</v>
      </c>
      <c r="BF66" s="36">
        <f>IF(VLOOKUP($H66,'How the score is generated (H)'!$B$4:$H$73,3,0)="ü",$S66,0)</f>
        <v>0</v>
      </c>
      <c r="BG66" s="145">
        <f>IF(OR($M66=0,$N66=2),0,IF(VLOOKUP($H66,'How the score is generated (H)'!$B$4:$H$73,3,0)="ü",2,0))</f>
        <v>0</v>
      </c>
      <c r="BH66" s="35">
        <f>IF(VLOOKUP($H66,'How the score is generated (H)'!$B$4:$H$73,4,0)="ü",$Q66,0)</f>
        <v>0</v>
      </c>
      <c r="BI66" s="36">
        <f>IF(VLOOKUP($H66,'How the score is generated (H)'!$B$4:$H$73,4,0)="ü",$S66,0)</f>
        <v>0</v>
      </c>
      <c r="BJ66" s="145">
        <f>IF(OR($M66=0,$N66=2),0,IF(VLOOKUP($H66,'How the score is generated (H)'!$B$4:$H$73,4,0)="ü",2,0))</f>
        <v>2</v>
      </c>
      <c r="BK66" s="35">
        <f>IF(VLOOKUP($H66,'How the score is generated (H)'!$B$4:$H$73,5,0)="ü",$Q66,0)</f>
        <v>0</v>
      </c>
      <c r="BL66" s="36">
        <f>IF(VLOOKUP($H66,'How the score is generated (H)'!$B$4:$H$73,5,0)="ü",$S66,0)</f>
        <v>0</v>
      </c>
      <c r="BM66" s="145">
        <f>IF(OR($M66=0,$N66=2),0,IF(VLOOKUP($H66,'How the score is generated (H)'!$B$4:$H$73,5,0)="ü",2,0))</f>
        <v>0</v>
      </c>
      <c r="BN66" s="35">
        <f>IF(VLOOKUP($H66,'How the score is generated (H)'!$B$4:$H$73,6,0)="ü",$Q66,0)</f>
        <v>0</v>
      </c>
      <c r="BO66" s="36">
        <f>IF(VLOOKUP($H66,'How the score is generated (H)'!$B$4:$H$73,6,0)="ü",$S66,0)</f>
        <v>0</v>
      </c>
      <c r="BP66" s="145">
        <f>IF(OR($M66=0,$N66=2),0,IF(VLOOKUP($H66,'How the score is generated (H)'!$B$4:$H$73,6,0)="ü",2,0))</f>
        <v>0</v>
      </c>
      <c r="BQ66" s="35">
        <f>IF(VLOOKUP($H66,'How the score is generated (H)'!$B$4:$H$73,7,0)="ü",$Q66,0)</f>
        <v>0</v>
      </c>
      <c r="BR66" s="36">
        <f>IF(VLOOKUP($H66,'How the score is generated (H)'!$B$4:$H$73,7,0)="ü",$S66,0)</f>
        <v>0</v>
      </c>
      <c r="BS66" s="145">
        <f>IF(OR($M66=0,$N66=2),0,IF(VLOOKUP($H66,'How the score is generated (H)'!$B$4:$H$73,7,0)="ü",2,0))</f>
        <v>0</v>
      </c>
      <c r="BT66" s="23"/>
      <c r="BU66" s="35">
        <f>IF(VLOOKUP($H66,'How the score is generated (P)'!$B$4:$H$73,2,0)="ü",$Q66,0)</f>
        <v>0</v>
      </c>
      <c r="BV66" s="36">
        <f>IF(VLOOKUP($H66,'How the score is generated (P)'!$B$4:$H$73,2,0)="ü",$S66,0)</f>
        <v>0</v>
      </c>
      <c r="BW66" s="145">
        <f>IF(OR($M66=0,$N66=2),0,IF(VLOOKUP($H66,'How the score is generated (P)'!$B$4:$I$73,2,0)="ü",2,0))</f>
        <v>0</v>
      </c>
      <c r="BX66" s="35">
        <f>IF(VLOOKUP($H66,'How the score is generated (P)'!$B$4:$H$73,3,0)="ü",$Q66,0)</f>
        <v>0</v>
      </c>
      <c r="BY66" s="36">
        <f>IF(VLOOKUP($H66,'How the score is generated (P)'!$B$4:$H$73,3,0)="ü",$S66,0)</f>
        <v>0</v>
      </c>
      <c r="BZ66" s="145">
        <f>IF(OR($M66=0,$N66=2),0,IF(VLOOKUP($H66,'How the score is generated (P)'!$B$4:$I$73,3,0)="ü",2,0))</f>
        <v>0</v>
      </c>
      <c r="CA66" s="35">
        <f>IF(VLOOKUP($H66,'How the score is generated (P)'!$B$4:$H$73,4,0)="ü",$Q66,0)</f>
        <v>0</v>
      </c>
      <c r="CB66" s="36">
        <f>IF(VLOOKUP($H66,'How the score is generated (P)'!$B$4:$H$73,4,0)="ü",$S66,0)</f>
        <v>0</v>
      </c>
      <c r="CC66" s="145">
        <f>IF(OR($M66=0,$N66=2),0,IF(VLOOKUP($H66,'How the score is generated (P)'!$B$4:$I$73,4,0)="ü",2,0))</f>
        <v>2</v>
      </c>
      <c r="CD66" s="35">
        <f>IF(VLOOKUP($H66,'How the score is generated (P)'!$B$4:$H$73,5,0)="ü",$Q66,0)</f>
        <v>0</v>
      </c>
      <c r="CE66" s="36">
        <f>IF(VLOOKUP($H66,'How the score is generated (P)'!$B$4:$H$73,5,0)="ü",$S66,0)</f>
        <v>0</v>
      </c>
      <c r="CF66" s="145">
        <f>IF(OR($M66=0,$N66=2),0,IF(VLOOKUP($H66,'How the score is generated (P)'!$B$4:$I$73,5,0)="ü",2,0))</f>
        <v>0</v>
      </c>
      <c r="CG66" s="35">
        <f>IF(VLOOKUP($H66,'How the score is generated (P)'!$B$4:$H$73,6,0)="ü",$Q66,0)</f>
        <v>0</v>
      </c>
      <c r="CH66" s="36">
        <f>IF(VLOOKUP($H66,'How the score is generated (P)'!$B$4:$H$73,6,0)="ü",$S66,0)</f>
        <v>0</v>
      </c>
      <c r="CI66" s="145">
        <f>IF(OR($M66=0,$N66=2),0,IF(VLOOKUP($H66,'How the score is generated (P)'!$B$4:$I$73,6,0)="ü",2,0))</f>
        <v>0</v>
      </c>
      <c r="CJ66" s="35">
        <f>IF(VLOOKUP($H66,'How the score is generated (P)'!$B$4:$H$73,7,0)="ü",$Q66,0)</f>
        <v>0</v>
      </c>
      <c r="CK66" s="36">
        <f>IF(VLOOKUP($H66,'How the score is generated (P)'!$B$4:$H$73,7,0)="ü",$S66,0)</f>
        <v>0</v>
      </c>
      <c r="CL66" s="145">
        <f>IF(OR($M66=0,$N66=2),0,IF(VLOOKUP($H66,'How the score is generated (P)'!$B$4:$I$73,7,0)="ü",2,0))</f>
        <v>0</v>
      </c>
      <c r="CM66" s="35">
        <f>IF(VLOOKUP($H66,'How the score is generated (P)'!$B$4:$I$73,8,0)="ü",$Q66,0)</f>
        <v>0</v>
      </c>
      <c r="CN66" s="36">
        <f>IF(VLOOKUP($H66,'How the score is generated (P)'!$B$4:$I$73,8,0)="ü",$S66,0)</f>
        <v>0</v>
      </c>
      <c r="CO66" s="145">
        <f>IF(OR($M66=0,$N66=2),0,IF(VLOOKUP($H66,'How the score is generated (P)'!$B$4:$I$73,8,0)="ü",2,0))</f>
        <v>0</v>
      </c>
      <c r="CP66" s="300"/>
    </row>
    <row r="67" spans="1:94" ht="55.5" customHeight="1" thickBot="1" x14ac:dyDescent="0.4">
      <c r="A67" s="23"/>
      <c r="B67" s="31"/>
      <c r="C67" s="181" t="str">
        <f>Validation!$S$7</f>
        <v xml:space="preserve">Group 6. Public transport </v>
      </c>
      <c r="D67" s="164">
        <f>D66+1</f>
        <v>44</v>
      </c>
      <c r="E67" s="221" t="s">
        <v>39</v>
      </c>
      <c r="F67" s="223" t="s">
        <v>20</v>
      </c>
      <c r="G67" s="39" t="s">
        <v>216</v>
      </c>
      <c r="H67" s="41" t="s">
        <v>1193</v>
      </c>
      <c r="I67" s="40" t="s">
        <v>881</v>
      </c>
      <c r="J67" s="390" t="s">
        <v>896</v>
      </c>
      <c r="K67" s="41" t="s">
        <v>882</v>
      </c>
      <c r="L67" s="42" t="s">
        <v>883</v>
      </c>
      <c r="M67" s="170">
        <f>IF(Project!$B$27="Off-Street",0,IF(Project!$B$37="Yes",1,0))</f>
        <v>1</v>
      </c>
      <c r="N67" s="425">
        <f t="shared" si="30"/>
        <v>0</v>
      </c>
      <c r="O67" s="144"/>
      <c r="P67" s="144"/>
      <c r="Q67" s="441">
        <f>IF(OR($M67=0,$O67="N/A"),"NA",VLOOKUP($O67,Validation!$D$2:$E$7,2,0))</f>
        <v>0</v>
      </c>
      <c r="R67" s="129">
        <f t="shared" si="31"/>
        <v>2</v>
      </c>
      <c r="S67" s="441">
        <f>IF(OR($M67=0,$P67="N/A"),"NA",VLOOKUP($P67,Validation!$D$2:$E$7,2,0))</f>
        <v>0</v>
      </c>
      <c r="T67" s="34">
        <f t="shared" si="32"/>
        <v>2</v>
      </c>
      <c r="U67" s="35">
        <f>IF(VLOOKUP($H67,'How the score is generated'!$B$4:$I$73,2,0)="ü",$Q67,0)</f>
        <v>0</v>
      </c>
      <c r="V67" s="36">
        <f>IF(VLOOKUP($H67,'How the score is generated'!$B$4:$I$73,2,0)="ü",$S67,0)</f>
        <v>0</v>
      </c>
      <c r="W67" s="145">
        <f>IF(OR($M67=0,$N67=2),0,IF(VLOOKUP($H67,'How the score is generated'!$B$4:$I$73,2,0)="ü",2,0))</f>
        <v>0</v>
      </c>
      <c r="X67" s="35">
        <f>IF(VLOOKUP($H67,'How the score is generated'!$B$4:$I$73,3,0)="ü",$Q67,0)</f>
        <v>0</v>
      </c>
      <c r="Y67" s="36">
        <f>IF(VLOOKUP($H67,'How the score is generated'!$B$4:$I$73,3,0)="ü",$S67,0)</f>
        <v>0</v>
      </c>
      <c r="Z67" s="145">
        <f>IF(OR($M67=0,$N67=2),0,IF(VLOOKUP($H67,'How the score is generated'!$B$4:$I$73,3,0)="ü",2,0))</f>
        <v>2</v>
      </c>
      <c r="AA67" s="35">
        <f>IF(VLOOKUP($H67,'How the score is generated'!$B$4:$I$73,4,0)="ü",$Q67,0)</f>
        <v>0</v>
      </c>
      <c r="AB67" s="36">
        <f>IF(VLOOKUP($H67,'How the score is generated'!$B$4:$I$73,4,0)="ü",$S67,0)</f>
        <v>0</v>
      </c>
      <c r="AC67" s="145">
        <f>IF(OR($M67=0,$N67=2),0,IF(VLOOKUP($H67,'How the score is generated'!$B$4:$I$73,4,0)="ü",2,0))</f>
        <v>2</v>
      </c>
      <c r="AD67" s="35">
        <f>IF(VLOOKUP($H67,'How the score is generated'!$B$4:$I$73,5,0)="ü",$Q67,0)</f>
        <v>0</v>
      </c>
      <c r="AE67" s="36">
        <f>IF(VLOOKUP($H67,'How the score is generated'!$B$4:$I$73,5,0)="ü",$S67,0)</f>
        <v>0</v>
      </c>
      <c r="AF67" s="145">
        <f>IF(OR($M67=0,$N67=2),0,IF(VLOOKUP($H67,'How the score is generated'!$B$4:$I$73,5,0)="ü",2,0))</f>
        <v>2</v>
      </c>
      <c r="AG67" s="35">
        <f>IF(VLOOKUP($H67,'How the score is generated'!$B$4:$I$73,6,0)="ü",$Q67,0)</f>
        <v>0</v>
      </c>
      <c r="AH67" s="36">
        <f>IF(VLOOKUP($H67,'How the score is generated'!$B$4:$I$73,6,0)="ü",$S67,0)</f>
        <v>0</v>
      </c>
      <c r="AI67" s="145">
        <f>IF(OR($M67=0,$N67=2),0,IF(VLOOKUP($H67,'How the score is generated'!$B$4:$I$73,6,0)="ü",2,0))</f>
        <v>0</v>
      </c>
      <c r="AJ67" s="35">
        <f>IF(VLOOKUP($H67,'How the score is generated'!$B$4:$I$73,7,0)="ü",$Q67,0)</f>
        <v>0</v>
      </c>
      <c r="AK67" s="36">
        <f>IF(VLOOKUP($H67,'How the score is generated'!$B$4:$I$73,7,0)="ü",$S67,0)</f>
        <v>0</v>
      </c>
      <c r="AL67" s="145">
        <f>IF(OR($M67=0,$N67=2),0,IF(VLOOKUP($H67,'How the score is generated'!$B$4:$I$73,7,0)="ü",2,0))</f>
        <v>0</v>
      </c>
      <c r="AM67" s="35">
        <f>IF(VLOOKUP($H67,'How the score is generated'!$B$4:$I$73,8,0)="ü",$Q67,0)</f>
        <v>0</v>
      </c>
      <c r="AN67" s="36">
        <f>IF(VLOOKUP($H67,'How the score is generated'!$B$4:$I$73,8,0)="ü",$S67,0)</f>
        <v>0</v>
      </c>
      <c r="AO67" s="145">
        <f>IF(OR($M67=0,$N67=2),0,IF(VLOOKUP($H67,'How the score is generated'!$B$4:$I$73,8,0)="ü",2,0))</f>
        <v>0</v>
      </c>
      <c r="AP67" s="23"/>
      <c r="AQ67" s="404"/>
      <c r="AR67" s="23"/>
      <c r="AS67" s="146"/>
      <c r="AW67" s="34"/>
      <c r="AX67" s="34" t="str">
        <f>IF(AW67="Amber",IF(S67=0,"Residual Amber",""),"")</f>
        <v/>
      </c>
      <c r="AY67" s="34" t="str">
        <f>IF(M67=0,"",IF(O67="","",O67))</f>
        <v/>
      </c>
      <c r="AZ67" s="34" t="str">
        <f>IF(M67=0,"",IF(P67="","",P67))</f>
        <v/>
      </c>
      <c r="BA67" s="34" t="str">
        <f>D67&amp;". "&amp;H67</f>
        <v>44. Street to platform/boarding point step free access</v>
      </c>
      <c r="BB67" s="35">
        <f>IF(VLOOKUP($H67,'How the score is generated (H)'!$B$4:$H$73,2,0)="ü",$Q67,0)</f>
        <v>0</v>
      </c>
      <c r="BC67" s="36">
        <f>IF(VLOOKUP($H67,'How the score is generated (H)'!$B$4:$H$73,2,0)="ü",$S67,0)</f>
        <v>0</v>
      </c>
      <c r="BD67" s="145">
        <f>IF(OR($M67=0,$N67=2),0,IF(VLOOKUP($H67,'How the score is generated (H)'!$B$4:$H$73,2,0)="ü",2,0))</f>
        <v>2</v>
      </c>
      <c r="BE67" s="35">
        <f>IF(VLOOKUP($H67,'How the score is generated (H)'!$B$4:$H$73,3,0)="ü",$Q67,0)</f>
        <v>0</v>
      </c>
      <c r="BF67" s="36">
        <f>IF(VLOOKUP($H67,'How the score is generated (H)'!$B$4:$H$73,3,0)="ü",$S67,0)</f>
        <v>0</v>
      </c>
      <c r="BG67" s="145">
        <f>IF(OR($M67=0,$N67=2),0,IF(VLOOKUP($H67,'How the score is generated (H)'!$B$4:$H$73,3,0)="ü",2,0))</f>
        <v>2</v>
      </c>
      <c r="BH67" s="35">
        <f>IF(VLOOKUP($H67,'How the score is generated (H)'!$B$4:$H$73,4,0)="ü",$Q67,0)</f>
        <v>0</v>
      </c>
      <c r="BI67" s="36">
        <f>IF(VLOOKUP($H67,'How the score is generated (H)'!$B$4:$H$73,4,0)="ü",$S67,0)</f>
        <v>0</v>
      </c>
      <c r="BJ67" s="145">
        <f>IF(OR($M67=0,$N67=2),0,IF(VLOOKUP($H67,'How the score is generated (H)'!$B$4:$H$73,4,0)="ü",2,0))</f>
        <v>0</v>
      </c>
      <c r="BK67" s="35">
        <f>IF(VLOOKUP($H67,'How the score is generated (H)'!$B$4:$H$73,5,0)="ü",$Q67,0)</f>
        <v>0</v>
      </c>
      <c r="BL67" s="36">
        <f>IF(VLOOKUP($H67,'How the score is generated (H)'!$B$4:$H$73,5,0)="ü",$S67,0)</f>
        <v>0</v>
      </c>
      <c r="BM67" s="145">
        <f>IF(OR($M67=0,$N67=2),0,IF(VLOOKUP($H67,'How the score is generated (H)'!$B$4:$H$73,5,0)="ü",2,0))</f>
        <v>0</v>
      </c>
      <c r="BN67" s="35">
        <f>IF(VLOOKUP($H67,'How the score is generated (H)'!$B$4:$H$73,6,0)="ü",$Q67,0)</f>
        <v>0</v>
      </c>
      <c r="BO67" s="36">
        <f>IF(VLOOKUP($H67,'How the score is generated (H)'!$B$4:$H$73,6,0)="ü",$S67,0)</f>
        <v>0</v>
      </c>
      <c r="BP67" s="145">
        <f>IF(OR($M67=0,$N67=2),0,IF(VLOOKUP($H67,'How the score is generated (H)'!$B$4:$H$73,6,0)="ü",2,0))</f>
        <v>2</v>
      </c>
      <c r="BQ67" s="35">
        <f>IF(VLOOKUP($H67,'How the score is generated (H)'!$B$4:$H$73,7,0)="ü",$Q67,0)</f>
        <v>0</v>
      </c>
      <c r="BR67" s="36">
        <f>IF(VLOOKUP($H67,'How the score is generated (H)'!$B$4:$H$73,7,0)="ü",$S67,0)</f>
        <v>0</v>
      </c>
      <c r="BS67" s="145">
        <f>IF(OR($M67=0,$N67=2),0,IF(VLOOKUP($H67,'How the score is generated (H)'!$B$4:$H$73,7,0)="ü",2,0))</f>
        <v>0</v>
      </c>
      <c r="BT67" s="23"/>
      <c r="BU67" s="35">
        <f>IF(VLOOKUP($H67,'How the score is generated (P)'!$B$4:$H$73,2,0)="ü",$Q67,0)</f>
        <v>0</v>
      </c>
      <c r="BV67" s="36">
        <f>IF(VLOOKUP($H67,'How the score is generated (P)'!$B$4:$H$73,2,0)="ü",$S67,0)</f>
        <v>0</v>
      </c>
      <c r="BW67" s="145">
        <f>IF(OR($M67=0,$N67=2),0,IF(VLOOKUP($H67,'How the score is generated (P)'!$B$4:$I$73,2,0)="ü",2,0))</f>
        <v>2</v>
      </c>
      <c r="BX67" s="35">
        <f>IF(VLOOKUP($H67,'How the score is generated (P)'!$B$4:$H$73,3,0)="ü",$Q67,0)</f>
        <v>0</v>
      </c>
      <c r="BY67" s="36">
        <f>IF(VLOOKUP($H67,'How the score is generated (P)'!$B$4:$H$73,3,0)="ü",$S67,0)</f>
        <v>0</v>
      </c>
      <c r="BZ67" s="145">
        <f>IF(OR($M67=0,$N67=2),0,IF(VLOOKUP($H67,'How the score is generated (P)'!$B$4:$I$73,3,0)="ü",2,0))</f>
        <v>2</v>
      </c>
      <c r="CA67" s="35">
        <f>IF(VLOOKUP($H67,'How the score is generated (P)'!$B$4:$H$73,4,0)="ü",$Q67,0)</f>
        <v>0</v>
      </c>
      <c r="CB67" s="36">
        <f>IF(VLOOKUP($H67,'How the score is generated (P)'!$B$4:$H$73,4,0)="ü",$S67,0)</f>
        <v>0</v>
      </c>
      <c r="CC67" s="145">
        <f>IF(OR($M67=0,$N67=2),0,IF(VLOOKUP($H67,'How the score is generated (P)'!$B$4:$I$73,4,0)="ü",2,0))</f>
        <v>2</v>
      </c>
      <c r="CD67" s="35">
        <f>IF(VLOOKUP($H67,'How the score is generated (P)'!$B$4:$H$73,5,0)="ü",$Q67,0)</f>
        <v>0</v>
      </c>
      <c r="CE67" s="36">
        <f>IF(VLOOKUP($H67,'How the score is generated (P)'!$B$4:$H$73,5,0)="ü",$S67,0)</f>
        <v>0</v>
      </c>
      <c r="CF67" s="145">
        <f>IF(OR($M67=0,$N67=2),0,IF(VLOOKUP($H67,'How the score is generated (P)'!$B$4:$I$73,5,0)="ü",2,0))</f>
        <v>2</v>
      </c>
      <c r="CG67" s="35">
        <f>IF(VLOOKUP($H67,'How the score is generated (P)'!$B$4:$H$73,6,0)="ü",$Q67,0)</f>
        <v>0</v>
      </c>
      <c r="CH67" s="36">
        <f>IF(VLOOKUP($H67,'How the score is generated (P)'!$B$4:$H$73,6,0)="ü",$S67,0)</f>
        <v>0</v>
      </c>
      <c r="CI67" s="145">
        <f>IF(OR($M67=0,$N67=2),0,IF(VLOOKUP($H67,'How the score is generated (P)'!$B$4:$I$73,6,0)="ü",2,0))</f>
        <v>2</v>
      </c>
      <c r="CJ67" s="35">
        <f>IF(VLOOKUP($H67,'How the score is generated (P)'!$B$4:$H$73,7,0)="ü",$Q67,0)</f>
        <v>0</v>
      </c>
      <c r="CK67" s="36">
        <f>IF(VLOOKUP($H67,'How the score is generated (P)'!$B$4:$H$73,7,0)="ü",$S67,0)</f>
        <v>0</v>
      </c>
      <c r="CL67" s="145">
        <f>IF(OR($M67=0,$N67=2),0,IF(VLOOKUP($H67,'How the score is generated (P)'!$B$4:$I$73,7,0)="ü",2,0))</f>
        <v>2</v>
      </c>
      <c r="CM67" s="35">
        <f>IF(VLOOKUP($H67,'How the score is generated (P)'!$B$4:$I$73,8,0)="ü",$Q67,0)</f>
        <v>0</v>
      </c>
      <c r="CN67" s="36">
        <f>IF(VLOOKUP($H67,'How the score is generated (P)'!$B$4:$I$73,8,0)="ü",$S67,0)</f>
        <v>0</v>
      </c>
      <c r="CO67" s="145">
        <f>IF(OR($M67=0,$N67=2),0,IF(VLOOKUP($H67,'How the score is generated (P)'!$B$4:$I$73,8,0)="ü",2,0))</f>
        <v>2</v>
      </c>
      <c r="CP67" s="300" t="s">
        <v>1094</v>
      </c>
    </row>
    <row r="68" spans="1:94" ht="65.5" thickBot="1" x14ac:dyDescent="0.4">
      <c r="A68" s="23"/>
      <c r="B68" s="31"/>
      <c r="C68" s="181" t="str">
        <f>Validation!$S$7</f>
        <v xml:space="preserve">Group 6. Public transport </v>
      </c>
      <c r="D68" s="164">
        <f>D67+1</f>
        <v>45</v>
      </c>
      <c r="E68" s="44" t="s">
        <v>39</v>
      </c>
      <c r="F68" s="213" t="s">
        <v>20</v>
      </c>
      <c r="G68" s="39" t="s">
        <v>1198</v>
      </c>
      <c r="H68" s="41" t="s">
        <v>1199</v>
      </c>
      <c r="I68" s="390" t="s">
        <v>896</v>
      </c>
      <c r="J68" s="41" t="s">
        <v>1197</v>
      </c>
      <c r="K68" s="41" t="s">
        <v>885</v>
      </c>
      <c r="L68" s="42" t="s">
        <v>1200</v>
      </c>
      <c r="M68" s="417">
        <f>IF(Project!$B$27="Off-Street",0,IF(Project!$B$37="Yes",1,0))</f>
        <v>1</v>
      </c>
      <c r="N68" s="425">
        <f t="shared" si="30"/>
        <v>0</v>
      </c>
      <c r="O68" s="391"/>
      <c r="P68" s="429"/>
      <c r="Q68" s="441">
        <f>IF(OR($M68=0,$O68="N/A"),"NA",VLOOKUP($O68,Validation!$D$2:$E$7,2,0))</f>
        <v>0</v>
      </c>
      <c r="R68" s="129">
        <f t="shared" si="31"/>
        <v>2</v>
      </c>
      <c r="S68" s="441">
        <f>IF(OR($M68=0,$P68="N/A"),"NA",VLOOKUP($P68,Validation!$D$2:$E$7,2,0))</f>
        <v>0</v>
      </c>
      <c r="T68" s="34">
        <f t="shared" si="32"/>
        <v>2</v>
      </c>
      <c r="U68" s="35">
        <f>IF(VLOOKUP($H68,'How the score is generated'!$B$4:$I$73,2,0)="ü",$Q68,0)</f>
        <v>0</v>
      </c>
      <c r="V68" s="36">
        <f>IF(VLOOKUP($H68,'How the score is generated'!$B$4:$I$73,2,0)="ü",$S68,0)</f>
        <v>0</v>
      </c>
      <c r="W68" s="145">
        <f>IF(OR($M68=0,$N68=2),0,IF(VLOOKUP($H68,'How the score is generated'!$B$4:$I$73,2,0)="ü",2,0))</f>
        <v>0</v>
      </c>
      <c r="X68" s="35">
        <f>IF(VLOOKUP($H68,'How the score is generated'!$B$4:$I$73,3,0)="ü",$Q68,0)</f>
        <v>0</v>
      </c>
      <c r="Y68" s="36">
        <f>IF(VLOOKUP($H68,'How the score is generated'!$B$4:$I$73,3,0)="ü",$S68,0)</f>
        <v>0</v>
      </c>
      <c r="Z68" s="145">
        <f>IF(OR($M68=0,$N68=2),0,IF(VLOOKUP($H68,'How the score is generated'!$B$4:$I$73,3,0)="ü",2,0))</f>
        <v>2</v>
      </c>
      <c r="AA68" s="35">
        <f>IF(VLOOKUP($H68,'How the score is generated'!$B$4:$I$73,4,0)="ü",$Q68,0)</f>
        <v>0</v>
      </c>
      <c r="AB68" s="36">
        <f>IF(VLOOKUP($H68,'How the score is generated'!$B$4:$I$73,4,0)="ü",$S68,0)</f>
        <v>0</v>
      </c>
      <c r="AC68" s="145">
        <f>IF(OR($M68=0,$N68=2),0,IF(VLOOKUP($H68,'How the score is generated'!$B$4:$I$73,4,0)="ü",2,0))</f>
        <v>0</v>
      </c>
      <c r="AD68" s="35">
        <f>IF(VLOOKUP($H68,'How the score is generated'!$B$4:$I$73,5,0)="ü",$Q68,0)</f>
        <v>0</v>
      </c>
      <c r="AE68" s="36">
        <f>IF(VLOOKUP($H68,'How the score is generated'!$B$4:$I$73,5,0)="ü",$S68,0)</f>
        <v>0</v>
      </c>
      <c r="AF68" s="145">
        <f>IF(OR($M68=0,$N68=2),0,IF(VLOOKUP($H68,'How the score is generated'!$B$4:$I$73,5,0)="ü",2,0))</f>
        <v>2</v>
      </c>
      <c r="AG68" s="35">
        <f>IF(VLOOKUP($H68,'How the score is generated'!$B$4:$I$73,6,0)="ü",$Q68,0)</f>
        <v>0</v>
      </c>
      <c r="AH68" s="36">
        <f>IF(VLOOKUP($H68,'How the score is generated'!$B$4:$I$73,6,0)="ü",$S68,0)</f>
        <v>0</v>
      </c>
      <c r="AI68" s="145">
        <f>IF(OR($M68=0,$N68=2),0,IF(VLOOKUP($H68,'How the score is generated'!$B$4:$I$73,6,0)="ü",2,0))</f>
        <v>0</v>
      </c>
      <c r="AJ68" s="35">
        <f>IF(VLOOKUP($H68,'How the score is generated'!$B$4:$I$73,7,0)="ü",$Q68,0)</f>
        <v>0</v>
      </c>
      <c r="AK68" s="36">
        <f>IF(VLOOKUP($H68,'How the score is generated'!$B$4:$I$73,7,0)="ü",$S68,0)</f>
        <v>0</v>
      </c>
      <c r="AL68" s="145">
        <f>IF(OR($M68=0,$N68=2),0,IF(VLOOKUP($H68,'How the score is generated'!$B$4:$I$73,7,0)="ü",2,0))</f>
        <v>0</v>
      </c>
      <c r="AM68" s="35">
        <f>IF(VLOOKUP($H68,'How the score is generated'!$B$4:$I$73,8,0)="ü",$Q68,0)</f>
        <v>0</v>
      </c>
      <c r="AN68" s="36">
        <f>IF(VLOOKUP($H68,'How the score is generated'!$B$4:$I$73,8,0)="ü",$S68,0)</f>
        <v>0</v>
      </c>
      <c r="AO68" s="145">
        <f>IF(OR($M68=0,$N68=2),0,IF(VLOOKUP($H68,'How the score is generated'!$B$4:$I$73,8,0)="ü",2,0))</f>
        <v>0</v>
      </c>
      <c r="AP68" s="23"/>
      <c r="AQ68" s="404"/>
      <c r="AR68" s="23"/>
      <c r="AS68" s="146"/>
      <c r="AW68" s="34"/>
      <c r="AX68" s="34" t="str">
        <f>IF(AW68="Amber",IF(S68=0,"Residual Amber",""),"")</f>
        <v/>
      </c>
      <c r="AY68" s="34" t="str">
        <f>IF(M68=0,"",IF(O68="","",O68))</f>
        <v/>
      </c>
      <c r="AZ68" s="34" t="str">
        <f>IF(M68=0,"",IF(P68="","",P68))</f>
        <v/>
      </c>
      <c r="BA68" s="34" t="str">
        <f>D68&amp;". "&amp;H68</f>
        <v>45. Pedestrian crossing(s) and ease of access</v>
      </c>
      <c r="BB68" s="35">
        <f>IF(VLOOKUP($H68,'How the score is generated (H)'!$B$4:$H$73,2,0)="ü",$Q68,0)</f>
        <v>0</v>
      </c>
      <c r="BC68" s="36">
        <f>IF(VLOOKUP($H68,'How the score is generated (H)'!$B$4:$H$73,2,0)="ü",$S68,0)</f>
        <v>0</v>
      </c>
      <c r="BD68" s="145">
        <f>IF(OR($M68=0,$N68=2),0,IF(VLOOKUP($H68,'How the score is generated (H)'!$B$4:$H$73,2,0)="ü",2,0))</f>
        <v>2</v>
      </c>
      <c r="BE68" s="35">
        <f>IF(VLOOKUP($H68,'How the score is generated (H)'!$B$4:$H$73,3,0)="ü",$Q68,0)</f>
        <v>0</v>
      </c>
      <c r="BF68" s="36">
        <f>IF(VLOOKUP($H68,'How the score is generated (H)'!$B$4:$H$73,3,0)="ü",$S68,0)</f>
        <v>0</v>
      </c>
      <c r="BG68" s="145">
        <f>IF(OR($M68=0,$N68=2),0,IF(VLOOKUP($H68,'How the score is generated (H)'!$B$4:$H$73,3,0)="ü",2,0))</f>
        <v>2</v>
      </c>
      <c r="BH68" s="35">
        <f>IF(VLOOKUP($H68,'How the score is generated (H)'!$B$4:$H$73,4,0)="ü",$Q68,0)</f>
        <v>0</v>
      </c>
      <c r="BI68" s="36">
        <f>IF(VLOOKUP($H68,'How the score is generated (H)'!$B$4:$H$73,4,0)="ü",$S68,0)</f>
        <v>0</v>
      </c>
      <c r="BJ68" s="145">
        <f>IF(OR($M68=0,$N68=2),0,IF(VLOOKUP($H68,'How the score is generated (H)'!$B$4:$H$73,4,0)="ü",2,0))</f>
        <v>0</v>
      </c>
      <c r="BK68" s="35">
        <f>IF(VLOOKUP($H68,'How the score is generated (H)'!$B$4:$H$73,5,0)="ü",$Q68,0)</f>
        <v>0</v>
      </c>
      <c r="BL68" s="36">
        <f>IF(VLOOKUP($H68,'How the score is generated (H)'!$B$4:$H$73,5,0)="ü",$S68,0)</f>
        <v>0</v>
      </c>
      <c r="BM68" s="145">
        <f>IF(OR($M68=0,$N68=2),0,IF(VLOOKUP($H68,'How the score is generated (H)'!$B$4:$H$73,5,0)="ü",2,0))</f>
        <v>0</v>
      </c>
      <c r="BN68" s="35">
        <f>IF(VLOOKUP($H68,'How the score is generated (H)'!$B$4:$H$73,6,0)="ü",$Q68,0)</f>
        <v>0</v>
      </c>
      <c r="BO68" s="36">
        <f>IF(VLOOKUP($H68,'How the score is generated (H)'!$B$4:$H$73,6,0)="ü",$S68,0)</f>
        <v>0</v>
      </c>
      <c r="BP68" s="145">
        <f>IF(OR($M68=0,$N68=2),0,IF(VLOOKUP($H68,'How the score is generated (H)'!$B$4:$H$73,6,0)="ü",2,0))</f>
        <v>0</v>
      </c>
      <c r="BQ68" s="35">
        <f>IF(VLOOKUP($H68,'How the score is generated (H)'!$B$4:$H$73,7,0)="ü",$Q68,0)</f>
        <v>0</v>
      </c>
      <c r="BR68" s="36">
        <f>IF(VLOOKUP($H68,'How the score is generated (H)'!$B$4:$H$73,7,0)="ü",$S68,0)</f>
        <v>0</v>
      </c>
      <c r="BS68" s="145">
        <f>IF(OR($M68=0,$N68=2),0,IF(VLOOKUP($H68,'How the score is generated (H)'!$B$4:$H$73,7,0)="ü",2,0))</f>
        <v>0</v>
      </c>
      <c r="BT68" s="23"/>
      <c r="BU68" s="35">
        <f>IF(VLOOKUP($H68,'How the score is generated (P)'!$B$4:$H$73,2,0)="ü",$Q68,0)</f>
        <v>0</v>
      </c>
      <c r="BV68" s="36">
        <f>IF(VLOOKUP($H68,'How the score is generated (P)'!$B$4:$H$73,2,0)="ü",$S68,0)</f>
        <v>0</v>
      </c>
      <c r="BW68" s="145">
        <f>IF(OR($M68=0,$N68=2),0,IF(VLOOKUP($H68,'How the score is generated (P)'!$B$4:$I$73,2,0)="ü",2,0))</f>
        <v>2</v>
      </c>
      <c r="BX68" s="35">
        <f>IF(VLOOKUP($H68,'How the score is generated (P)'!$B$4:$H$73,3,0)="ü",$Q68,0)</f>
        <v>0</v>
      </c>
      <c r="BY68" s="36">
        <f>IF(VLOOKUP($H68,'How the score is generated (P)'!$B$4:$H$73,3,0)="ü",$S68,0)</f>
        <v>0</v>
      </c>
      <c r="BZ68" s="145">
        <f>IF(OR($M68=0,$N68=2),0,IF(VLOOKUP($H68,'How the score is generated (P)'!$B$4:$I$73,3,0)="ü",2,0))</f>
        <v>0</v>
      </c>
      <c r="CA68" s="35">
        <f>IF(VLOOKUP($H68,'How the score is generated (P)'!$B$4:$H$73,4,0)="ü",$Q68,0)</f>
        <v>0</v>
      </c>
      <c r="CB68" s="36">
        <f>IF(VLOOKUP($H68,'How the score is generated (P)'!$B$4:$H$73,4,0)="ü",$S68,0)</f>
        <v>0</v>
      </c>
      <c r="CC68" s="145">
        <f>IF(OR($M68=0,$N68=2),0,IF(VLOOKUP($H68,'How the score is generated (P)'!$B$4:$I$73,4,0)="ü",2,0))</f>
        <v>2</v>
      </c>
      <c r="CD68" s="35">
        <f>IF(VLOOKUP($H68,'How the score is generated (P)'!$B$4:$H$73,5,0)="ü",$Q68,0)</f>
        <v>0</v>
      </c>
      <c r="CE68" s="36">
        <f>IF(VLOOKUP($H68,'How the score is generated (P)'!$B$4:$H$73,5,0)="ü",$S68,0)</f>
        <v>0</v>
      </c>
      <c r="CF68" s="145">
        <f>IF(OR($M68=0,$N68=2),0,IF(VLOOKUP($H68,'How the score is generated (P)'!$B$4:$I$73,5,0)="ü",2,0))</f>
        <v>2</v>
      </c>
      <c r="CG68" s="35">
        <f>IF(VLOOKUP($H68,'How the score is generated (P)'!$B$4:$H$73,6,0)="ü",$Q68,0)</f>
        <v>0</v>
      </c>
      <c r="CH68" s="36">
        <f>IF(VLOOKUP($H68,'How the score is generated (P)'!$B$4:$H$73,6,0)="ü",$S68,0)</f>
        <v>0</v>
      </c>
      <c r="CI68" s="145">
        <f>IF(OR($M68=0,$N68=2),0,IF(VLOOKUP($H68,'How the score is generated (P)'!$B$4:$I$73,6,0)="ü",2,0))</f>
        <v>2</v>
      </c>
      <c r="CJ68" s="35">
        <f>IF(VLOOKUP($H68,'How the score is generated (P)'!$B$4:$H$73,7,0)="ü",$Q68,0)</f>
        <v>0</v>
      </c>
      <c r="CK68" s="36">
        <f>IF(VLOOKUP($H68,'How the score is generated (P)'!$B$4:$H$73,7,0)="ü",$S68,0)</f>
        <v>0</v>
      </c>
      <c r="CL68" s="145">
        <f>IF(OR($M68=0,$N68=2),0,IF(VLOOKUP($H68,'How the score is generated (P)'!$B$4:$I$73,7,0)="ü",2,0))</f>
        <v>2</v>
      </c>
      <c r="CM68" s="35">
        <f>IF(VLOOKUP($H68,'How the score is generated (P)'!$B$4:$I$73,8,0)="ü",$Q68,0)</f>
        <v>0</v>
      </c>
      <c r="CN68" s="36">
        <f>IF(VLOOKUP($H68,'How the score is generated (P)'!$B$4:$I$73,8,0)="ü",$S68,0)</f>
        <v>0</v>
      </c>
      <c r="CO68" s="145">
        <f>IF(OR($M68=0,$N68=2),0,IF(VLOOKUP($H68,'How the score is generated (P)'!$B$4:$I$73,8,0)="ü",2,0))</f>
        <v>2</v>
      </c>
      <c r="CP68" s="300"/>
    </row>
    <row r="69" spans="1:94" ht="55.5" customHeight="1" thickBot="1" x14ac:dyDescent="0.4">
      <c r="A69" s="23"/>
      <c r="B69" s="83"/>
      <c r="C69" s="181" t="str">
        <f>Validation!$S$7</f>
        <v xml:space="preserve">Group 6. Public transport </v>
      </c>
      <c r="D69" s="165">
        <f>D68+1</f>
        <v>46</v>
      </c>
      <c r="E69" s="166" t="s">
        <v>43</v>
      </c>
      <c r="F69" s="199" t="s">
        <v>43</v>
      </c>
      <c r="G69" s="177" t="s">
        <v>1194</v>
      </c>
      <c r="H69" s="178" t="s">
        <v>1195</v>
      </c>
      <c r="I69" s="438" t="s">
        <v>896</v>
      </c>
      <c r="J69" s="178" t="s">
        <v>228</v>
      </c>
      <c r="K69" s="178" t="s">
        <v>229</v>
      </c>
      <c r="L69" s="180" t="s">
        <v>230</v>
      </c>
      <c r="M69" s="427">
        <f>IF(Project!$B$27="Off-Street",0,IF(Project!$B$37="Yes",1,0))</f>
        <v>1</v>
      </c>
      <c r="N69" s="425">
        <f t="shared" si="30"/>
        <v>0</v>
      </c>
      <c r="O69" s="448"/>
      <c r="P69" s="241"/>
      <c r="Q69" s="441">
        <f>IF(OR($M69=0,$O69="N/A"),"NA",VLOOKUP($O69,Validation!$D$2:$E$7,2,0))</f>
        <v>0</v>
      </c>
      <c r="R69" s="129">
        <f t="shared" si="31"/>
        <v>2</v>
      </c>
      <c r="S69" s="441">
        <f>IF(OR($M69=0,$P69="N/A"),"NA",VLOOKUP($P69,Validation!$D$2:$E$7,2,0))</f>
        <v>0</v>
      </c>
      <c r="T69" s="34">
        <f t="shared" si="32"/>
        <v>2</v>
      </c>
      <c r="U69" s="418">
        <f>IF(VLOOKUP($H69,'How the score is generated'!$B$4:$I$73,2,0)="ü",$Q69,0)</f>
        <v>0</v>
      </c>
      <c r="V69" s="419">
        <f>IF(VLOOKUP($H69,'How the score is generated'!$B$4:$I$73,2,0)="ü",$S69,0)</f>
        <v>0</v>
      </c>
      <c r="W69" s="145">
        <f>IF(OR($M69=0,$N69=2),0,IF(VLOOKUP($H69,'How the score is generated'!$B$4:$I$73,2,0)="ü",2,0))</f>
        <v>0</v>
      </c>
      <c r="X69" s="418">
        <f>IF(VLOOKUP($H69,'How the score is generated'!$B$4:$I$73,3,0)="ü",$Q69,0)</f>
        <v>0</v>
      </c>
      <c r="Y69" s="419">
        <f>IF(VLOOKUP($H69,'How the score is generated'!$B$4:$I$73,3,0)="ü",$S69,0)</f>
        <v>0</v>
      </c>
      <c r="Z69" s="145">
        <f>IF(OR($M69=0,$N69=2),0,IF(VLOOKUP($H69,'How the score is generated'!$B$4:$I$73,3,0)="ü",2,0))</f>
        <v>0</v>
      </c>
      <c r="AA69" s="418">
        <f>IF(VLOOKUP($H69,'How the score is generated'!$B$4:$I$73,4,0)="ü",$Q69,0)</f>
        <v>0</v>
      </c>
      <c r="AB69" s="419">
        <f>IF(VLOOKUP($H69,'How the score is generated'!$B$4:$I$73,4,0)="ü",$S69,0)</f>
        <v>0</v>
      </c>
      <c r="AC69" s="145">
        <f>IF(OR($M69=0,$N69=2),0,IF(VLOOKUP($H69,'How the score is generated'!$B$4:$I$73,4,0)="ü",2,0))</f>
        <v>0</v>
      </c>
      <c r="AD69" s="418">
        <f>IF(VLOOKUP($H69,'How the score is generated'!$B$4:$I$73,5,0)="ü",$Q69,0)</f>
        <v>0</v>
      </c>
      <c r="AE69" s="419">
        <f>IF(VLOOKUP($H69,'How the score is generated'!$B$4:$I$73,5,0)="ü",$S69,0)</f>
        <v>0</v>
      </c>
      <c r="AF69" s="145">
        <f>IF(OR($M69=0,$N69=2),0,IF(VLOOKUP($H69,'How the score is generated'!$B$4:$I$73,5,0)="ü",2,0))</f>
        <v>2</v>
      </c>
      <c r="AG69" s="418">
        <f>IF(VLOOKUP($H69,'How the score is generated'!$B$4:$I$73,6,0)="ü",$Q69,0)</f>
        <v>0</v>
      </c>
      <c r="AH69" s="419">
        <f>IF(VLOOKUP($H69,'How the score is generated'!$B$4:$I$73,6,0)="ü",$S69,0)</f>
        <v>0</v>
      </c>
      <c r="AI69" s="145">
        <f>IF(OR($M69=0,$N69=2),0,IF(VLOOKUP($H69,'How the score is generated'!$B$4:$I$73,6,0)="ü",2,0))</f>
        <v>0</v>
      </c>
      <c r="AJ69" s="418">
        <f>IF(VLOOKUP($H69,'How the score is generated'!$B$4:$I$73,7,0)="ü",$Q69,0)</f>
        <v>0</v>
      </c>
      <c r="AK69" s="419">
        <f>IF(VLOOKUP($H69,'How the score is generated'!$B$4:$I$73,7,0)="ü",$S69,0)</f>
        <v>0</v>
      </c>
      <c r="AL69" s="145">
        <f>IF(OR($M69=0,$N69=2),0,IF(VLOOKUP($H69,'How the score is generated'!$B$4:$I$73,7,0)="ü",2,0))</f>
        <v>0</v>
      </c>
      <c r="AM69" s="418">
        <f>IF(VLOOKUP($H69,'How the score is generated'!$B$4:$I$73,8,0)="ü",$Q69,0)</f>
        <v>0</v>
      </c>
      <c r="AN69" s="419">
        <f>IF(VLOOKUP($H69,'How the score is generated'!$B$4:$I$73,8,0)="ü",$S69,0)</f>
        <v>0</v>
      </c>
      <c r="AO69" s="145">
        <f>IF(OR($M69=0,$N69=2),0,IF(VLOOKUP($H69,'How the score is generated'!$B$4:$I$73,8,0)="ü",2,0))</f>
        <v>0</v>
      </c>
      <c r="AP69" s="23"/>
      <c r="AQ69" s="404" t="s">
        <v>1196</v>
      </c>
      <c r="AR69" s="23"/>
      <c r="AS69" s="146"/>
      <c r="AW69" s="34"/>
      <c r="AX69" s="34" t="str">
        <f>IF(AW69="Amber",IF(S69=0,"Residual Amber",""),"")</f>
        <v/>
      </c>
      <c r="AY69" s="34" t="str">
        <f>IF(M69=0,"",IF(O69="","",O69))</f>
        <v/>
      </c>
      <c r="AZ69" s="34" t="str">
        <f>IF(M69=0,"",IF(P69="","",P69))</f>
        <v/>
      </c>
      <c r="BA69" s="34" t="str">
        <f>D69&amp;". "&amp;H69</f>
        <v>46. Bus stop proximity to other bus services</v>
      </c>
      <c r="BB69" s="35">
        <f>IF(VLOOKUP($H69,'How the score is generated (H)'!$B$4:$H$73,2,0)="ü",$Q69,0)</f>
        <v>0</v>
      </c>
      <c r="BC69" s="36">
        <f>IF(VLOOKUP($H69,'How the score is generated (H)'!$B$4:$H$73,2,0)="ü",$S69,0)</f>
        <v>0</v>
      </c>
      <c r="BD69" s="145">
        <f>IF(OR($M69=0,$N69=2),0,IF(VLOOKUP($H69,'How the score is generated (H)'!$B$4:$H$73,2,0)="ü",2,0))</f>
        <v>0</v>
      </c>
      <c r="BE69" s="35">
        <f>IF(VLOOKUP($H69,'How the score is generated (H)'!$B$4:$H$73,3,0)="ü",$Q69,0)</f>
        <v>0</v>
      </c>
      <c r="BF69" s="36">
        <f>IF(VLOOKUP($H69,'How the score is generated (H)'!$B$4:$H$73,3,0)="ü",$S69,0)</f>
        <v>0</v>
      </c>
      <c r="BG69" s="145">
        <f>IF(OR($M69=0,$N69=2),0,IF(VLOOKUP($H69,'How the score is generated (H)'!$B$4:$H$73,3,0)="ü",2,0))</f>
        <v>2</v>
      </c>
      <c r="BH69" s="35">
        <f>IF(VLOOKUP($H69,'How the score is generated (H)'!$B$4:$H$73,4,0)="ü",$Q69,0)</f>
        <v>0</v>
      </c>
      <c r="BI69" s="36">
        <f>IF(VLOOKUP($H69,'How the score is generated (H)'!$B$4:$H$73,4,0)="ü",$S69,0)</f>
        <v>0</v>
      </c>
      <c r="BJ69" s="145">
        <f>IF(OR($M69=0,$N69=2),0,IF(VLOOKUP($H69,'How the score is generated (H)'!$B$4:$H$73,4,0)="ü",2,0))</f>
        <v>2</v>
      </c>
      <c r="BK69" s="35">
        <f>IF(VLOOKUP($H69,'How the score is generated (H)'!$B$4:$H$73,5,0)="ü",$Q69,0)</f>
        <v>0</v>
      </c>
      <c r="BL69" s="36">
        <f>IF(VLOOKUP($H69,'How the score is generated (H)'!$B$4:$H$73,5,0)="ü",$S69,0)</f>
        <v>0</v>
      </c>
      <c r="BM69" s="145">
        <f>IF(OR($M69=0,$N69=2),0,IF(VLOOKUP($H69,'How the score is generated (H)'!$B$4:$H$73,5,0)="ü",2,0))</f>
        <v>2</v>
      </c>
      <c r="BN69" s="35">
        <f>IF(VLOOKUP($H69,'How the score is generated (H)'!$B$4:$H$73,6,0)="ü",$Q69,0)</f>
        <v>0</v>
      </c>
      <c r="BO69" s="36">
        <f>IF(VLOOKUP($H69,'How the score is generated (H)'!$B$4:$H$73,6,0)="ü",$S69,0)</f>
        <v>0</v>
      </c>
      <c r="BP69" s="145">
        <f>IF(OR($M69=0,$N69=2),0,IF(VLOOKUP($H69,'How the score is generated (H)'!$B$4:$H$73,6,0)="ü",2,0))</f>
        <v>0</v>
      </c>
      <c r="BQ69" s="35">
        <f>IF(VLOOKUP($H69,'How the score is generated (H)'!$B$4:$H$73,7,0)="ü",$Q69,0)</f>
        <v>0</v>
      </c>
      <c r="BR69" s="36">
        <f>IF(VLOOKUP($H69,'How the score is generated (H)'!$B$4:$H$73,7,0)="ü",$S69,0)</f>
        <v>0</v>
      </c>
      <c r="BS69" s="145">
        <f>IF(OR($M69=0,$N69=2),0,IF(VLOOKUP($H69,'How the score is generated (H)'!$B$4:$H$73,7,0)="ü",2,0))</f>
        <v>0</v>
      </c>
      <c r="BT69" s="23"/>
      <c r="BU69" s="35">
        <f>IF(VLOOKUP($H69,'How the score is generated (P)'!$B$4:$H$73,2,0)="ü",$Q69,0)</f>
        <v>0</v>
      </c>
      <c r="BV69" s="36">
        <f>IF(VLOOKUP($H69,'How the score is generated (P)'!$B$4:$H$73,2,0)="ü",$S69,0)</f>
        <v>0</v>
      </c>
      <c r="BW69" s="145">
        <f>IF(OR($M69=0,$N69=2),0,IF(VLOOKUP($H69,'How the score is generated (P)'!$B$4:$I$73,2,0)="ü",2,0))</f>
        <v>2</v>
      </c>
      <c r="BX69" s="35">
        <f>IF(VLOOKUP($H69,'How the score is generated (P)'!$B$4:$H$73,3,0)="ü",$Q69,0)</f>
        <v>0</v>
      </c>
      <c r="BY69" s="36">
        <f>IF(VLOOKUP($H69,'How the score is generated (P)'!$B$4:$H$73,3,0)="ü",$S69,0)</f>
        <v>0</v>
      </c>
      <c r="BZ69" s="145">
        <f>IF(OR($M69=0,$N69=2),0,IF(VLOOKUP($H69,'How the score is generated (P)'!$B$4:$I$73,3,0)="ü",2,0))</f>
        <v>0</v>
      </c>
      <c r="CA69" s="35">
        <f>IF(VLOOKUP($H69,'How the score is generated (P)'!$B$4:$H$73,4,0)="ü",$Q69,0)</f>
        <v>0</v>
      </c>
      <c r="CB69" s="36">
        <f>IF(VLOOKUP($H69,'How the score is generated (P)'!$B$4:$H$73,4,0)="ü",$S69,0)</f>
        <v>0</v>
      </c>
      <c r="CC69" s="145">
        <f>IF(OR($M69=0,$N69=2),0,IF(VLOOKUP($H69,'How the score is generated (P)'!$B$4:$I$73,4,0)="ü",2,0))</f>
        <v>2</v>
      </c>
      <c r="CD69" s="35">
        <f>IF(VLOOKUP($H69,'How the score is generated (P)'!$B$4:$H$73,5,0)="ü",$Q69,0)</f>
        <v>0</v>
      </c>
      <c r="CE69" s="36">
        <f>IF(VLOOKUP($H69,'How the score is generated (P)'!$B$4:$H$73,5,0)="ü",$S69,0)</f>
        <v>0</v>
      </c>
      <c r="CF69" s="145">
        <f>IF(OR($M69=0,$N69=2),0,IF(VLOOKUP($H69,'How the score is generated (P)'!$B$4:$I$73,5,0)="ü",2,0))</f>
        <v>2</v>
      </c>
      <c r="CG69" s="35">
        <f>IF(VLOOKUP($H69,'How the score is generated (P)'!$B$4:$H$73,6,0)="ü",$Q69,0)</f>
        <v>0</v>
      </c>
      <c r="CH69" s="36">
        <f>IF(VLOOKUP($H69,'How the score is generated (P)'!$B$4:$H$73,6,0)="ü",$S69,0)</f>
        <v>0</v>
      </c>
      <c r="CI69" s="145">
        <f>IF(OR($M69=0,$N69=2),0,IF(VLOOKUP($H69,'How the score is generated (P)'!$B$4:$I$73,6,0)="ü",2,0))</f>
        <v>2</v>
      </c>
      <c r="CJ69" s="35">
        <f>IF(VLOOKUP($H69,'How the score is generated (P)'!$B$4:$H$73,7,0)="ü",$Q69,0)</f>
        <v>0</v>
      </c>
      <c r="CK69" s="36">
        <f>IF(VLOOKUP($H69,'How the score is generated (P)'!$B$4:$H$73,7,0)="ü",$S69,0)</f>
        <v>0</v>
      </c>
      <c r="CL69" s="145">
        <f>IF(OR($M69=0,$N69=2),0,IF(VLOOKUP($H69,'How the score is generated (P)'!$B$4:$I$73,7,0)="ü",2,0))</f>
        <v>2</v>
      </c>
      <c r="CM69" s="35">
        <f>IF(VLOOKUP($H69,'How the score is generated (P)'!$B$4:$I$73,8,0)="ü",$Q69,0)</f>
        <v>0</v>
      </c>
      <c r="CN69" s="36">
        <f>IF(VLOOKUP($H69,'How the score is generated (P)'!$B$4:$I$73,8,0)="ü",$S69,0)</f>
        <v>0</v>
      </c>
      <c r="CO69" s="145">
        <f>IF(OR($M69=0,$N69=2),0,IF(VLOOKUP($H69,'How the score is generated (P)'!$B$4:$I$73,8,0)="ü",2,0))</f>
        <v>2</v>
      </c>
      <c r="CP69" s="300"/>
    </row>
    <row r="70" spans="1:94" ht="15" thickBot="1" x14ac:dyDescent="0.4">
      <c r="A70" s="23"/>
      <c r="B70" s="31"/>
      <c r="C70" s="78"/>
      <c r="D70" s="78"/>
      <c r="E70" s="78"/>
      <c r="F70" s="78"/>
      <c r="G70" s="493" t="s">
        <v>231</v>
      </c>
      <c r="H70" s="493"/>
      <c r="I70" s="493"/>
      <c r="J70" s="493"/>
      <c r="K70" s="493"/>
      <c r="L70" s="493"/>
      <c r="M70" s="493"/>
      <c r="N70" s="494"/>
      <c r="O70" s="493"/>
      <c r="P70" s="493"/>
      <c r="Q70" s="493"/>
      <c r="R70" s="493"/>
      <c r="S70" s="495"/>
      <c r="T70" s="420"/>
      <c r="U70" s="421"/>
      <c r="V70" s="421"/>
      <c r="W70" s="421"/>
      <c r="X70" s="421"/>
      <c r="Y70" s="421"/>
      <c r="Z70" s="421"/>
      <c r="AA70" s="421"/>
      <c r="AB70" s="421"/>
      <c r="AC70" s="421"/>
      <c r="AD70" s="421"/>
      <c r="AE70" s="421"/>
      <c r="AF70" s="421"/>
      <c r="AG70" s="421"/>
      <c r="AH70" s="421"/>
      <c r="AI70" s="421"/>
      <c r="AJ70" s="421"/>
      <c r="AK70" s="421"/>
      <c r="AL70" s="421"/>
      <c r="AM70" s="421"/>
      <c r="AN70" s="421"/>
      <c r="AO70" s="422"/>
      <c r="AP70" s="23"/>
      <c r="AQ70" s="76"/>
      <c r="AR70" s="23"/>
      <c r="AS70" s="321"/>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row>
    <row r="71" spans="1:94" ht="150.5" customHeight="1" thickBot="1" x14ac:dyDescent="0.4">
      <c r="A71" s="23"/>
      <c r="B71" s="64"/>
      <c r="C71" s="84" t="str">
        <f>Validation!$S$7</f>
        <v xml:space="preserve">Group 6. Public transport </v>
      </c>
      <c r="D71" s="163">
        <f>D69+1</f>
        <v>47</v>
      </c>
      <c r="E71" s="184" t="s">
        <v>43</v>
      </c>
      <c r="F71" s="187" t="s">
        <v>43</v>
      </c>
      <c r="G71" s="173" t="s">
        <v>1201</v>
      </c>
      <c r="H71" s="174" t="s">
        <v>1202</v>
      </c>
      <c r="I71" s="439" t="s">
        <v>896</v>
      </c>
      <c r="J71" s="385" t="s">
        <v>1203</v>
      </c>
      <c r="K71" s="192" t="s">
        <v>234</v>
      </c>
      <c r="L71" s="193" t="s">
        <v>1204</v>
      </c>
      <c r="M71" s="170">
        <f>IF(Project!$B$27="Off-Street",0,IF(Project!$B$41="Yes",1,0))</f>
        <v>1</v>
      </c>
      <c r="N71" s="425">
        <f t="shared" si="30"/>
        <v>0</v>
      </c>
      <c r="O71" s="144"/>
      <c r="P71" s="423"/>
      <c r="Q71" s="441">
        <f>IF(OR($M71=0,$O71="N/A"),"NA",VLOOKUP($O71,Validation!$D$2:$E$7,2,0))</f>
        <v>0</v>
      </c>
      <c r="R71" s="129">
        <f t="shared" si="31"/>
        <v>2</v>
      </c>
      <c r="S71" s="441">
        <f>IF(OR($M71=0,$P71="N/A"),"NA",VLOOKUP($P71,Validation!$D$2:$E$7,2,0))</f>
        <v>0</v>
      </c>
      <c r="T71" s="34">
        <f t="shared" si="32"/>
        <v>2</v>
      </c>
      <c r="U71" s="394">
        <f>IF(VLOOKUP($H71,'How the score is generated'!$B$4:$I$73,2,0)="ü",$Q71,0)</f>
        <v>0</v>
      </c>
      <c r="V71" s="395">
        <f>IF(VLOOKUP($H71,'How the score is generated'!$B$4:$I$73,2,0)="ü",$S71,0)</f>
        <v>0</v>
      </c>
      <c r="W71" s="145">
        <f>IF(OR($M71=0,$N71=2),0,IF(VLOOKUP($H71,'How the score is generated'!$B$4:$I$73,2,0)="ü",2,0))</f>
        <v>0</v>
      </c>
      <c r="X71" s="394">
        <f>IF(VLOOKUP($H71,'How the score is generated'!$B$4:$I$73,3,0)="ü",$Q71,0)</f>
        <v>0</v>
      </c>
      <c r="Y71" s="395">
        <f>IF(VLOOKUP($H71,'How the score is generated'!$B$4:$I$73,3,0)="ü",$S71,0)</f>
        <v>0</v>
      </c>
      <c r="Z71" s="145">
        <f>IF(OR($M71=0,$N71=2),0,IF(VLOOKUP($H71,'How the score is generated'!$B$4:$I$73,3,0)="ü",2,0))</f>
        <v>0</v>
      </c>
      <c r="AA71" s="394">
        <f>IF(VLOOKUP($H71,'How the score is generated'!$B$4:$I$73,4,0)="ü",$Q71,0)</f>
        <v>0</v>
      </c>
      <c r="AB71" s="395">
        <f>IF(VLOOKUP($H71,'How the score is generated'!$B$4:$I$73,4,0)="ü",$S71,0)</f>
        <v>0</v>
      </c>
      <c r="AC71" s="145">
        <f>IF(OR($M71=0,$N71=2),0,IF(VLOOKUP($H71,'How the score is generated'!$B$4:$I$73,4,0)="ü",2,0))</f>
        <v>0</v>
      </c>
      <c r="AD71" s="394">
        <f>IF(VLOOKUP($H71,'How the score is generated'!$B$4:$I$73,5,0)="ü",$Q71,0)</f>
        <v>0</v>
      </c>
      <c r="AE71" s="395">
        <f>IF(VLOOKUP($H71,'How the score is generated'!$B$4:$I$73,5,0)="ü",$S71,0)</f>
        <v>0</v>
      </c>
      <c r="AF71" s="145">
        <f>IF(OR($M71=0,$N71=2),0,IF(VLOOKUP($H71,'How the score is generated'!$B$4:$I$73,5,0)="ü",2,0))</f>
        <v>2</v>
      </c>
      <c r="AG71" s="394">
        <f>IF(VLOOKUP($H71,'How the score is generated'!$B$4:$I$73,6,0)="ü",$Q71,0)</f>
        <v>0</v>
      </c>
      <c r="AH71" s="395">
        <f>IF(VLOOKUP($H71,'How the score is generated'!$B$4:$I$73,6,0)="ü",$S71,0)</f>
        <v>0</v>
      </c>
      <c r="AI71" s="145">
        <f>IF(OR($M71=0,$N71=2),0,IF(VLOOKUP($H71,'How the score is generated'!$B$4:$I$73,6,0)="ü",2,0))</f>
        <v>0</v>
      </c>
      <c r="AJ71" s="394">
        <f>IF(VLOOKUP($H71,'How the score is generated'!$B$4:$I$73,7,0)="ü",$Q71,0)</f>
        <v>0</v>
      </c>
      <c r="AK71" s="395">
        <f>IF(VLOOKUP($H71,'How the score is generated'!$B$4:$I$73,7,0)="ü",$S71,0)</f>
        <v>0</v>
      </c>
      <c r="AL71" s="145">
        <f>IF(OR($M71=0,$N71=2),0,IF(VLOOKUP($H71,'How the score is generated'!$B$4:$I$73,7,0)="ü",2,0))</f>
        <v>2</v>
      </c>
      <c r="AM71" s="394">
        <f>IF(VLOOKUP($H71,'How the score is generated'!$B$4:$I$73,8,0)="ü",$Q71,0)</f>
        <v>0</v>
      </c>
      <c r="AN71" s="395">
        <f>IF(VLOOKUP($H71,'How the score is generated'!$B$4:$I$73,8,0)="ü",$S71,0)</f>
        <v>0</v>
      </c>
      <c r="AO71" s="145">
        <f>IF(OR($M71=0,$N71=2),0,IF(VLOOKUP($H71,'How the score is generated'!$B$4:$I$73,8,0)="ü",2,0))</f>
        <v>0</v>
      </c>
      <c r="AP71" s="23"/>
      <c r="AQ71" s="404" t="s">
        <v>1229</v>
      </c>
      <c r="AR71" s="23"/>
      <c r="AS71" s="146"/>
      <c r="AW71" s="34" t="s">
        <v>177</v>
      </c>
      <c r="AX71" s="34" t="str">
        <f t="shared" ref="AX71:AX79" si="33">IF(AW71="Amber",IF(S71=0,"Residual Amber",""),"")</f>
        <v>Residual Amber</v>
      </c>
      <c r="AY71" s="34" t="str">
        <f t="shared" ref="AY71:AY79" si="34">IF(M71=0,"",IF(O71="","",O71))</f>
        <v/>
      </c>
      <c r="AZ71" s="34" t="str">
        <f t="shared" ref="AZ71:AZ79" si="35">IF(M71=0,"",IF(P71="","",P71))</f>
        <v/>
      </c>
      <c r="BA71" s="34" t="str">
        <f t="shared" ref="BA71:BA79" si="36">D71&amp;". "&amp;H71</f>
        <v>47. Street design influences bus journey time and reliability</v>
      </c>
      <c r="BB71" s="35">
        <f>IF(VLOOKUP($H71,'How the score is generated (H)'!$B$4:$H$73,2,0)="ü",$Q71,0)</f>
        <v>0</v>
      </c>
      <c r="BC71" s="36">
        <f>IF(VLOOKUP($H71,'How the score is generated (H)'!$B$4:$H$73,2,0)="ü",$S71,0)</f>
        <v>0</v>
      </c>
      <c r="BD71" s="145">
        <f>IF(OR($M71=0,$N71=2),0,IF(VLOOKUP($H71,'How the score is generated (H)'!$B$4:$H$73,2,0)="ü",2,0))</f>
        <v>0</v>
      </c>
      <c r="BE71" s="35">
        <f>IF(VLOOKUP($H71,'How the score is generated (H)'!$B$4:$H$73,3,0)="ü",$Q71,0)</f>
        <v>0</v>
      </c>
      <c r="BF71" s="36">
        <f>IF(VLOOKUP($H71,'How the score is generated (H)'!$B$4:$H$73,3,0)="ü",$S71,0)</f>
        <v>0</v>
      </c>
      <c r="BG71" s="145">
        <f>IF(OR($M71=0,$N71=2),0,IF(VLOOKUP($H71,'How the score is generated (H)'!$B$4:$H$73,3,0)="ü",2,0))</f>
        <v>2</v>
      </c>
      <c r="BH71" s="35">
        <f>IF(VLOOKUP($H71,'How the score is generated (H)'!$B$4:$H$73,4,0)="ü",$Q71,0)</f>
        <v>0</v>
      </c>
      <c r="BI71" s="36">
        <f>IF(VLOOKUP($H71,'How the score is generated (H)'!$B$4:$H$73,4,0)="ü",$S71,0)</f>
        <v>0</v>
      </c>
      <c r="BJ71" s="145">
        <f>IF(OR($M71=0,$N71=2),0,IF(VLOOKUP($H71,'How the score is generated (H)'!$B$4:$H$73,4,0)="ü",2,0))</f>
        <v>0</v>
      </c>
      <c r="BK71" s="35">
        <f>IF(VLOOKUP($H71,'How the score is generated (H)'!$B$4:$H$73,5,0)="ü",$Q71,0)</f>
        <v>0</v>
      </c>
      <c r="BL71" s="36">
        <f>IF(VLOOKUP($H71,'How the score is generated (H)'!$B$4:$H$73,5,0)="ü",$S71,0)</f>
        <v>0</v>
      </c>
      <c r="BM71" s="145">
        <f>IF(OR($M71=0,$N71=2),0,IF(VLOOKUP($H71,'How the score is generated (H)'!$B$4:$H$73,5,0)="ü",2,0))</f>
        <v>2</v>
      </c>
      <c r="BN71" s="35">
        <f>IF(VLOOKUP($H71,'How the score is generated (H)'!$B$4:$H$73,6,0)="ü",$Q71,0)</f>
        <v>0</v>
      </c>
      <c r="BO71" s="36">
        <f>IF(VLOOKUP($H71,'How the score is generated (H)'!$B$4:$H$73,6,0)="ü",$S71,0)</f>
        <v>0</v>
      </c>
      <c r="BP71" s="145">
        <f>IF(OR($M71=0,$N71=2),0,IF(VLOOKUP($H71,'How the score is generated (H)'!$B$4:$H$73,6,0)="ü",2,0))</f>
        <v>2</v>
      </c>
      <c r="BQ71" s="35">
        <f>IF(VLOOKUP($H71,'How the score is generated (H)'!$B$4:$H$73,7,0)="ü",$Q71,0)</f>
        <v>0</v>
      </c>
      <c r="BR71" s="36">
        <f>IF(VLOOKUP($H71,'How the score is generated (H)'!$B$4:$H$73,7,0)="ü",$S71,0)</f>
        <v>0</v>
      </c>
      <c r="BS71" s="145">
        <f>IF(OR($M71=0,$N71=2),0,IF(VLOOKUP($H71,'How the score is generated (H)'!$B$4:$H$73,7,0)="ü",2,0))</f>
        <v>0</v>
      </c>
      <c r="BT71" s="23"/>
      <c r="BU71" s="35">
        <f>IF(VLOOKUP($H71,'How the score is generated (P)'!$B$4:$H$73,2,0)="ü",$Q71,0)</f>
        <v>0</v>
      </c>
      <c r="BV71" s="36">
        <f>IF(VLOOKUP($H71,'How the score is generated (P)'!$B$4:$H$73,2,0)="ü",$S71,0)</f>
        <v>0</v>
      </c>
      <c r="BW71" s="145">
        <f>IF(OR($M71=0,$N71=2),0,IF(VLOOKUP($H71,'How the score is generated (P)'!$B$4:$I$73,2,0)="ü",2,0))</f>
        <v>0</v>
      </c>
      <c r="BX71" s="35">
        <f>IF(VLOOKUP($H71,'How the score is generated (P)'!$B$4:$H$73,3,0)="ü",$Q71,0)</f>
        <v>0</v>
      </c>
      <c r="BY71" s="36">
        <f>IF(VLOOKUP($H71,'How the score is generated (P)'!$B$4:$H$73,3,0)="ü",$S71,0)</f>
        <v>0</v>
      </c>
      <c r="BZ71" s="145">
        <f>IF(OR($M71=0,$N71=2),0,IF(VLOOKUP($H71,'How the score is generated (P)'!$B$4:$I$73,3,0)="ü",2,0))</f>
        <v>2</v>
      </c>
      <c r="CA71" s="35">
        <f>IF(VLOOKUP($H71,'How the score is generated (P)'!$B$4:$H$73,4,0)="ü",$Q71,0)</f>
        <v>0</v>
      </c>
      <c r="CB71" s="36">
        <f>IF(VLOOKUP($H71,'How the score is generated (P)'!$B$4:$H$73,4,0)="ü",$S71,0)</f>
        <v>0</v>
      </c>
      <c r="CC71" s="145">
        <f>IF(OR($M71=0,$N71=2),0,IF(VLOOKUP($H71,'How the score is generated (P)'!$B$4:$I$73,4,0)="ü",2,0))</f>
        <v>2</v>
      </c>
      <c r="CD71" s="35">
        <f>IF(VLOOKUP($H71,'How the score is generated (P)'!$B$4:$H$73,5,0)="ü",$Q71,0)</f>
        <v>0</v>
      </c>
      <c r="CE71" s="36">
        <f>IF(VLOOKUP($H71,'How the score is generated (P)'!$B$4:$H$73,5,0)="ü",$S71,0)</f>
        <v>0</v>
      </c>
      <c r="CF71" s="145">
        <f>IF(OR($M71=0,$N71=2),0,IF(VLOOKUP($H71,'How the score is generated (P)'!$B$4:$I$73,5,0)="ü",2,0))</f>
        <v>2</v>
      </c>
      <c r="CG71" s="35">
        <f>IF(VLOOKUP($H71,'How the score is generated (P)'!$B$4:$H$73,6,0)="ü",$Q71,0)</f>
        <v>0</v>
      </c>
      <c r="CH71" s="36">
        <f>IF(VLOOKUP($H71,'How the score is generated (P)'!$B$4:$H$73,6,0)="ü",$S71,0)</f>
        <v>0</v>
      </c>
      <c r="CI71" s="145">
        <f>IF(OR($M71=0,$N71=2),0,IF(VLOOKUP($H71,'How the score is generated (P)'!$B$4:$I$73,6,0)="ü",2,0))</f>
        <v>2</v>
      </c>
      <c r="CJ71" s="35">
        <f>IF(VLOOKUP($H71,'How the score is generated (P)'!$B$4:$H$73,7,0)="ü",$Q71,0)</f>
        <v>0</v>
      </c>
      <c r="CK71" s="36">
        <f>IF(VLOOKUP($H71,'How the score is generated (P)'!$B$4:$H$73,7,0)="ü",$S71,0)</f>
        <v>0</v>
      </c>
      <c r="CL71" s="145">
        <f>IF(OR($M71=0,$N71=2),0,IF(VLOOKUP($H71,'How the score is generated (P)'!$B$4:$I$73,7,0)="ü",2,0))</f>
        <v>2</v>
      </c>
      <c r="CM71" s="35">
        <f>IF(VLOOKUP($H71,'How the score is generated (P)'!$B$4:$I$73,8,0)="ü",$Q71,0)</f>
        <v>0</v>
      </c>
      <c r="CN71" s="36">
        <f>IF(VLOOKUP($H71,'How the score is generated (P)'!$B$4:$I$73,8,0)="ü",$S71,0)</f>
        <v>0</v>
      </c>
      <c r="CO71" s="145">
        <f>IF(OR($M71=0,$N71=2),0,IF(VLOOKUP($H71,'How the score is generated (P)'!$B$4:$I$73,8,0)="ü",2,0))</f>
        <v>2</v>
      </c>
      <c r="CP71" s="300"/>
    </row>
    <row r="72" spans="1:94" ht="291" customHeight="1" thickBot="1" x14ac:dyDescent="0.4">
      <c r="A72" s="23"/>
      <c r="B72" s="64"/>
      <c r="C72" s="181" t="str">
        <f>Validation!$S$7</f>
        <v xml:space="preserve">Group 6. Public transport </v>
      </c>
      <c r="D72" s="164">
        <f>D71+1</f>
        <v>48</v>
      </c>
      <c r="E72" s="38" t="s">
        <v>43</v>
      </c>
      <c r="F72" s="198" t="s">
        <v>43</v>
      </c>
      <c r="G72" s="39" t="s">
        <v>1249</v>
      </c>
      <c r="H72" s="41" t="s">
        <v>1205</v>
      </c>
      <c r="I72" s="40" t="s">
        <v>1035</v>
      </c>
      <c r="J72" s="41" t="s">
        <v>1036</v>
      </c>
      <c r="K72" s="41" t="s">
        <v>1037</v>
      </c>
      <c r="L72" s="42" t="s">
        <v>1038</v>
      </c>
      <c r="M72" s="428">
        <f>IF(Project!$B$27="Off-Street",0,IF(Project!$B$41="Yes",1,0))</f>
        <v>1</v>
      </c>
      <c r="N72" s="425">
        <f t="shared" si="30"/>
        <v>0</v>
      </c>
      <c r="O72" s="429"/>
      <c r="P72" s="144"/>
      <c r="Q72" s="441">
        <f>IF(OR($M72=0,$O72="N/A"),"NA",VLOOKUP($O72,Validation!$D$2:$E$7,2,0))</f>
        <v>0</v>
      </c>
      <c r="R72" s="129">
        <f t="shared" si="31"/>
        <v>2</v>
      </c>
      <c r="S72" s="441">
        <f>IF(OR($M72=0,$P72="N/A"),"NA",VLOOKUP($P72,Validation!$D$2:$E$7,2,0))</f>
        <v>0</v>
      </c>
      <c r="T72" s="34">
        <f t="shared" si="32"/>
        <v>2</v>
      </c>
      <c r="U72" s="35">
        <f>IF(VLOOKUP($H72,'How the score is generated'!$B$4:$I$73,2,0)="ü",$Q72,0)</f>
        <v>0</v>
      </c>
      <c r="V72" s="36">
        <f>IF(VLOOKUP($H72,'How the score is generated'!$B$4:$I$73,2,0)="ü",$S72,0)</f>
        <v>0</v>
      </c>
      <c r="W72" s="145">
        <f>IF(OR($M72=0,$N72=2),0,IF(VLOOKUP($H72,'How the score is generated'!$B$4:$I$73,2,0)="ü",2,0))</f>
        <v>0</v>
      </c>
      <c r="X72" s="35">
        <f>IF(VLOOKUP($H72,'How the score is generated'!$B$4:$I$73,3,0)="ü",$Q72,0)</f>
        <v>0</v>
      </c>
      <c r="Y72" s="36">
        <f>IF(VLOOKUP($H72,'How the score is generated'!$B$4:$I$73,3,0)="ü",$S72,0)</f>
        <v>0</v>
      </c>
      <c r="Z72" s="145">
        <f>IF(OR($M72=0,$N72=2),0,IF(VLOOKUP($H72,'How the score is generated'!$B$4:$I$73,3,0)="ü",2,0))</f>
        <v>0</v>
      </c>
      <c r="AA72" s="35">
        <f>IF(VLOOKUP($H72,'How the score is generated'!$B$4:$I$73,4,0)="ü",$Q72,0)</f>
        <v>0</v>
      </c>
      <c r="AB72" s="36">
        <f>IF(VLOOKUP($H72,'How the score is generated'!$B$4:$I$73,4,0)="ü",$S72,0)</f>
        <v>0</v>
      </c>
      <c r="AC72" s="145">
        <f>IF(OR($M72=0,$N72=2),0,IF(VLOOKUP($H72,'How the score is generated'!$B$4:$I$73,4,0)="ü",2,0))</f>
        <v>0</v>
      </c>
      <c r="AD72" s="35">
        <f>IF(VLOOKUP($H72,'How the score is generated'!$B$4:$I$73,5,0)="ü",$Q72,0)</f>
        <v>0</v>
      </c>
      <c r="AE72" s="36">
        <f>IF(VLOOKUP($H72,'How the score is generated'!$B$4:$I$73,5,0)="ü",$S72,0)</f>
        <v>0</v>
      </c>
      <c r="AF72" s="145">
        <f>IF(OR($M72=0,$N72=2),0,IF(VLOOKUP($H72,'How the score is generated'!$B$4:$I$73,5,0)="ü",2,0))</f>
        <v>2</v>
      </c>
      <c r="AG72" s="35">
        <f>IF(VLOOKUP($H72,'How the score is generated'!$B$4:$I$73,6,0)="ü",$Q72,0)</f>
        <v>0</v>
      </c>
      <c r="AH72" s="36">
        <f>IF(VLOOKUP($H72,'How the score is generated'!$B$4:$I$73,6,0)="ü",$S72,0)</f>
        <v>0</v>
      </c>
      <c r="AI72" s="145">
        <f>IF(OR($M72=0,$N72=2),0,IF(VLOOKUP($H72,'How the score is generated'!$B$4:$I$73,6,0)="ü",2,0))</f>
        <v>0</v>
      </c>
      <c r="AJ72" s="35">
        <f>IF(VLOOKUP($H72,'How the score is generated'!$B$4:$I$73,7,0)="ü",$Q72,0)</f>
        <v>0</v>
      </c>
      <c r="AK72" s="36">
        <f>IF(VLOOKUP($H72,'How the score is generated'!$B$4:$I$73,7,0)="ü",$S72,0)</f>
        <v>0</v>
      </c>
      <c r="AL72" s="145">
        <f>IF(OR($M72=0,$N72=2),0,IF(VLOOKUP($H72,'How the score is generated'!$B$4:$I$73,7,0)="ü",2,0))</f>
        <v>0</v>
      </c>
      <c r="AM72" s="35">
        <f>IF(VLOOKUP($H72,'How the score is generated'!$B$4:$I$73,8,0)="ü",$Q72,0)</f>
        <v>0</v>
      </c>
      <c r="AN72" s="36">
        <f>IF(VLOOKUP($H72,'How the score is generated'!$B$4:$I$73,8,0)="ü",$S72,0)</f>
        <v>0</v>
      </c>
      <c r="AO72" s="145">
        <f>IF(OR($M72=0,$N72=2),0,IF(VLOOKUP($H72,'How the score is generated'!$B$4:$I$73,8,0)="ü",2,0))</f>
        <v>0</v>
      </c>
      <c r="AP72" s="23"/>
      <c r="AQ72" s="407" t="s">
        <v>1052</v>
      </c>
      <c r="AR72" s="23"/>
      <c r="AS72" s="146"/>
      <c r="AW72" s="34"/>
      <c r="AX72" s="34" t="str">
        <f t="shared" si="33"/>
        <v/>
      </c>
      <c r="AY72" s="34" t="str">
        <f t="shared" si="34"/>
        <v/>
      </c>
      <c r="AZ72" s="34" t="str">
        <f t="shared" si="35"/>
        <v/>
      </c>
      <c r="BA72" s="34" t="str">
        <f t="shared" si="36"/>
        <v>48. Degree to which bus stop zone is universally accessible for people using the stop and people passing by</v>
      </c>
      <c r="BB72" s="35">
        <f>IF(VLOOKUP($H72,'How the score is generated (H)'!$B$4:$H$73,2,0)="ü",$Q72,0)</f>
        <v>0</v>
      </c>
      <c r="BC72" s="36">
        <f>IF(VLOOKUP($H72,'How the score is generated (H)'!$B$4:$H$73,2,0)="ü",$S72,0)</f>
        <v>0</v>
      </c>
      <c r="BD72" s="145">
        <f>IF(OR($M72=0,$N72=2),0,IF(VLOOKUP($H72,'How the score is generated (H)'!$B$4:$H$73,2,0)="ü",2,0))</f>
        <v>2</v>
      </c>
      <c r="BE72" s="35">
        <f>IF(VLOOKUP($H72,'How the score is generated (H)'!$B$4:$H$73,3,0)="ü",$Q72,0)</f>
        <v>0</v>
      </c>
      <c r="BF72" s="36">
        <f>IF(VLOOKUP($H72,'How the score is generated (H)'!$B$4:$H$73,3,0)="ü",$S72,0)</f>
        <v>0</v>
      </c>
      <c r="BG72" s="145">
        <f>IF(OR($M72=0,$N72=2),0,IF(VLOOKUP($H72,'How the score is generated (H)'!$B$4:$H$73,3,0)="ü",2,0))</f>
        <v>2</v>
      </c>
      <c r="BH72" s="35">
        <f>IF(VLOOKUP($H72,'How the score is generated (H)'!$B$4:$H$73,4,0)="ü",$Q72,0)</f>
        <v>0</v>
      </c>
      <c r="BI72" s="36">
        <f>IF(VLOOKUP($H72,'How the score is generated (H)'!$B$4:$H$73,4,0)="ü",$S72,0)</f>
        <v>0</v>
      </c>
      <c r="BJ72" s="145">
        <f>IF(OR($M72=0,$N72=2),0,IF(VLOOKUP($H72,'How the score is generated (H)'!$B$4:$H$73,4,0)="ü",2,0))</f>
        <v>0</v>
      </c>
      <c r="BK72" s="35">
        <f>IF(VLOOKUP($H72,'How the score is generated (H)'!$B$4:$H$73,5,0)="ü",$Q72,0)</f>
        <v>0</v>
      </c>
      <c r="BL72" s="36">
        <f>IF(VLOOKUP($H72,'How the score is generated (H)'!$B$4:$H$73,5,0)="ü",$S72,0)</f>
        <v>0</v>
      </c>
      <c r="BM72" s="145">
        <f>IF(OR($M72=0,$N72=2),0,IF(VLOOKUP($H72,'How the score is generated (H)'!$B$4:$H$73,5,0)="ü",2,0))</f>
        <v>2</v>
      </c>
      <c r="BN72" s="35">
        <f>IF(VLOOKUP($H72,'How the score is generated (H)'!$B$4:$H$73,6,0)="ü",$Q72,0)</f>
        <v>0</v>
      </c>
      <c r="BO72" s="36">
        <f>IF(VLOOKUP($H72,'How the score is generated (H)'!$B$4:$H$73,6,0)="ü",$S72,0)</f>
        <v>0</v>
      </c>
      <c r="BP72" s="145">
        <f>IF(OR($M72=0,$N72=2),0,IF(VLOOKUP($H72,'How the score is generated (H)'!$B$4:$H$73,6,0)="ü",2,0))</f>
        <v>2</v>
      </c>
      <c r="BQ72" s="35">
        <f>IF(VLOOKUP($H72,'How the score is generated (H)'!$B$4:$H$73,7,0)="ü",$Q72,0)</f>
        <v>0</v>
      </c>
      <c r="BR72" s="36">
        <f>IF(VLOOKUP($H72,'How the score is generated (H)'!$B$4:$H$73,7,0)="ü",$S72,0)</f>
        <v>0</v>
      </c>
      <c r="BS72" s="145">
        <f>IF(OR($M72=0,$N72=2),0,IF(VLOOKUP($H72,'How the score is generated (H)'!$B$4:$H$73,7,0)="ü",2,0))</f>
        <v>0</v>
      </c>
      <c r="BT72" s="23"/>
      <c r="BU72" s="35">
        <f>IF(VLOOKUP($H72,'How the score is generated (P)'!$B$4:$H$73,2,0)="ü",$Q72,0)</f>
        <v>0</v>
      </c>
      <c r="BV72" s="36">
        <f>IF(VLOOKUP($H72,'How the score is generated (P)'!$B$4:$H$73,2,0)="ü",$S72,0)</f>
        <v>0</v>
      </c>
      <c r="BW72" s="145">
        <f>IF(OR($M72=0,$N72=2),0,IF(VLOOKUP($H72,'How the score is generated (P)'!$B$4:$I$73,2,0)="ü",2,0))</f>
        <v>2</v>
      </c>
      <c r="BX72" s="35">
        <f>IF(VLOOKUP($H72,'How the score is generated (P)'!$B$4:$H$73,3,0)="ü",$Q72,0)</f>
        <v>0</v>
      </c>
      <c r="BY72" s="36">
        <f>IF(VLOOKUP($H72,'How the score is generated (P)'!$B$4:$H$73,3,0)="ü",$S72,0)</f>
        <v>0</v>
      </c>
      <c r="BZ72" s="145">
        <f>IF(OR($M72=0,$N72=2),0,IF(VLOOKUP($H72,'How the score is generated (P)'!$B$4:$I$73,3,0)="ü",2,0))</f>
        <v>0</v>
      </c>
      <c r="CA72" s="35">
        <f>IF(VLOOKUP($H72,'How the score is generated (P)'!$B$4:$H$73,4,0)="ü",$Q72,0)</f>
        <v>0</v>
      </c>
      <c r="CB72" s="36">
        <f>IF(VLOOKUP($H72,'How the score is generated (P)'!$B$4:$H$73,4,0)="ü",$S72,0)</f>
        <v>0</v>
      </c>
      <c r="CC72" s="145">
        <f>IF(OR($M72=0,$N72=2),0,IF(VLOOKUP($H72,'How the score is generated (P)'!$B$4:$I$73,4,0)="ü",2,0))</f>
        <v>2</v>
      </c>
      <c r="CD72" s="35">
        <f>IF(VLOOKUP($H72,'How the score is generated (P)'!$B$4:$H$73,5,0)="ü",$Q72,0)</f>
        <v>0</v>
      </c>
      <c r="CE72" s="36">
        <f>IF(VLOOKUP($H72,'How the score is generated (P)'!$B$4:$H$73,5,0)="ü",$S72,0)</f>
        <v>0</v>
      </c>
      <c r="CF72" s="145">
        <f>IF(OR($M72=0,$N72=2),0,IF(VLOOKUP($H72,'How the score is generated (P)'!$B$4:$I$73,5,0)="ü",2,0))</f>
        <v>2</v>
      </c>
      <c r="CG72" s="35">
        <f>IF(VLOOKUP($H72,'How the score is generated (P)'!$B$4:$H$73,6,0)="ü",$Q72,0)</f>
        <v>0</v>
      </c>
      <c r="CH72" s="36">
        <f>IF(VLOOKUP($H72,'How the score is generated (P)'!$B$4:$H$73,6,0)="ü",$S72,0)</f>
        <v>0</v>
      </c>
      <c r="CI72" s="145">
        <f>IF(OR($M72=0,$N72=2),0,IF(VLOOKUP($H72,'How the score is generated (P)'!$B$4:$I$73,6,0)="ü",2,0))</f>
        <v>2</v>
      </c>
      <c r="CJ72" s="35">
        <f>IF(VLOOKUP($H72,'How the score is generated (P)'!$B$4:$H$73,7,0)="ü",$Q72,0)</f>
        <v>0</v>
      </c>
      <c r="CK72" s="36">
        <f>IF(VLOOKUP($H72,'How the score is generated (P)'!$B$4:$H$73,7,0)="ü",$S72,0)</f>
        <v>0</v>
      </c>
      <c r="CL72" s="145">
        <f>IF(OR($M72=0,$N72=2),0,IF(VLOOKUP($H72,'How the score is generated (P)'!$B$4:$I$73,7,0)="ü",2,0))</f>
        <v>2</v>
      </c>
      <c r="CM72" s="35">
        <f>IF(VLOOKUP($H72,'How the score is generated (P)'!$B$4:$I$73,8,0)="ü",$Q72,0)</f>
        <v>0</v>
      </c>
      <c r="CN72" s="36">
        <f>IF(VLOOKUP($H72,'How the score is generated (P)'!$B$4:$I$73,8,0)="ü",$S72,0)</f>
        <v>0</v>
      </c>
      <c r="CO72" s="145">
        <f>IF(OR($M72=0,$N72=2),0,IF(VLOOKUP($H72,'How the score is generated (P)'!$B$4:$I$73,8,0)="ü",2,0))</f>
        <v>2</v>
      </c>
      <c r="CP72" s="300"/>
    </row>
    <row r="73" spans="1:94" ht="190.5" customHeight="1" thickBot="1" x14ac:dyDescent="0.4">
      <c r="A73" s="23"/>
      <c r="B73" s="64"/>
      <c r="C73" s="181" t="str">
        <f>Validation!$S$7</f>
        <v xml:space="preserve">Group 6. Public transport </v>
      </c>
      <c r="D73" s="164">
        <f>D72+1</f>
        <v>49</v>
      </c>
      <c r="E73" s="182" t="s">
        <v>43</v>
      </c>
      <c r="F73" s="186" t="s">
        <v>43</v>
      </c>
      <c r="G73" s="39" t="s">
        <v>1015</v>
      </c>
      <c r="H73" s="41" t="s">
        <v>237</v>
      </c>
      <c r="I73" s="390" t="s">
        <v>896</v>
      </c>
      <c r="J73" s="382" t="s">
        <v>1258</v>
      </c>
      <c r="K73" s="189" t="s">
        <v>1259</v>
      </c>
      <c r="L73" s="191" t="s">
        <v>239</v>
      </c>
      <c r="M73" s="129">
        <f>IF(Project!$B$27="Off-Street",0,IF(Project!$B$41="Yes",1,0))</f>
        <v>1</v>
      </c>
      <c r="N73" s="425">
        <f t="shared" si="30"/>
        <v>0</v>
      </c>
      <c r="O73" s="144"/>
      <c r="P73" s="144"/>
      <c r="Q73" s="441">
        <f>IF(OR($M73=0,$O73="N/A"),"NA",VLOOKUP($O73,Validation!$D$2:$E$7,2,0))</f>
        <v>0</v>
      </c>
      <c r="R73" s="129">
        <f t="shared" si="31"/>
        <v>2</v>
      </c>
      <c r="S73" s="441">
        <f>IF(OR($M73=0,$P73="N/A"),"NA",VLOOKUP($P73,Validation!$D$2:$E$7,2,0))</f>
        <v>0</v>
      </c>
      <c r="T73" s="34">
        <f t="shared" si="32"/>
        <v>2</v>
      </c>
      <c r="U73" s="35">
        <f>IF(VLOOKUP($H73,'How the score is generated'!$B$4:$I$73,2,0)="ü",$Q73,0)</f>
        <v>0</v>
      </c>
      <c r="V73" s="36">
        <f>IF(VLOOKUP($H73,'How the score is generated'!$B$4:$I$73,2,0)="ü",$S73,0)</f>
        <v>0</v>
      </c>
      <c r="W73" s="145">
        <f>IF(OR($M73=0,$N73=2),0,IF(VLOOKUP($H73,'How the score is generated'!$B$4:$I$73,2,0)="ü",2,0))</f>
        <v>0</v>
      </c>
      <c r="X73" s="35">
        <f>IF(VLOOKUP($H73,'How the score is generated'!$B$4:$I$73,3,0)="ü",$Q73,0)</f>
        <v>0</v>
      </c>
      <c r="Y73" s="36">
        <f>IF(VLOOKUP($H73,'How the score is generated'!$B$4:$I$73,3,0)="ü",$S73,0)</f>
        <v>0</v>
      </c>
      <c r="Z73" s="145">
        <f>IF(OR($M73=0,$N73=2),0,IF(VLOOKUP($H73,'How the score is generated'!$B$4:$I$73,3,0)="ü",2,0))</f>
        <v>0</v>
      </c>
      <c r="AA73" s="35">
        <f>IF(VLOOKUP($H73,'How the score is generated'!$B$4:$I$73,4,0)="ü",$Q73,0)</f>
        <v>0</v>
      </c>
      <c r="AB73" s="36">
        <f>IF(VLOOKUP($H73,'How the score is generated'!$B$4:$I$73,4,0)="ü",$S73,0)</f>
        <v>0</v>
      </c>
      <c r="AC73" s="145">
        <f>IF(OR($M73=0,$N73=2),0,IF(VLOOKUP($H73,'How the score is generated'!$B$4:$I$73,4,0)="ü",2,0))</f>
        <v>0</v>
      </c>
      <c r="AD73" s="35">
        <f>IF(VLOOKUP($H73,'How the score is generated'!$B$4:$I$73,5,0)="ü",$Q73,0)</f>
        <v>0</v>
      </c>
      <c r="AE73" s="36">
        <f>IF(VLOOKUP($H73,'How the score is generated'!$B$4:$I$73,5,0)="ü",$S73,0)</f>
        <v>0</v>
      </c>
      <c r="AF73" s="145">
        <f>IF(OR($M73=0,$N73=2),0,IF(VLOOKUP($H73,'How the score is generated'!$B$4:$I$73,5,0)="ü",2,0))</f>
        <v>2</v>
      </c>
      <c r="AG73" s="35">
        <f>IF(VLOOKUP($H73,'How the score is generated'!$B$4:$I$73,6,0)="ü",$Q73,0)</f>
        <v>0</v>
      </c>
      <c r="AH73" s="36">
        <f>IF(VLOOKUP($H73,'How the score is generated'!$B$4:$I$73,6,0)="ü",$S73,0)</f>
        <v>0</v>
      </c>
      <c r="AI73" s="145">
        <f>IF(OR($M73=0,$N73=2),0,IF(VLOOKUP($H73,'How the score is generated'!$B$4:$I$73,6,0)="ü",2,0))</f>
        <v>0</v>
      </c>
      <c r="AJ73" s="35">
        <f>IF(VLOOKUP($H73,'How the score is generated'!$B$4:$I$73,7,0)="ü",$Q73,0)</f>
        <v>0</v>
      </c>
      <c r="AK73" s="36">
        <f>IF(VLOOKUP($H73,'How the score is generated'!$B$4:$I$73,7,0)="ü",$S73,0)</f>
        <v>0</v>
      </c>
      <c r="AL73" s="145">
        <f>IF(OR($M73=0,$N73=2),0,IF(VLOOKUP($H73,'How the score is generated'!$B$4:$I$73,7,0)="ü",2,0))</f>
        <v>0</v>
      </c>
      <c r="AM73" s="35">
        <f>IF(VLOOKUP($H73,'How the score is generated'!$B$4:$I$73,8,0)="ü",$Q73,0)</f>
        <v>0</v>
      </c>
      <c r="AN73" s="36">
        <f>IF(VLOOKUP($H73,'How the score is generated'!$B$4:$I$73,8,0)="ü",$S73,0)</f>
        <v>0</v>
      </c>
      <c r="AO73" s="145">
        <f>IF(OR($M73=0,$N73=2),0,IF(VLOOKUP($H73,'How the score is generated'!$B$4:$I$73,8,0)="ü",2,0))</f>
        <v>0</v>
      </c>
      <c r="AP73" s="23"/>
      <c r="AQ73" s="404"/>
      <c r="AR73" s="23"/>
      <c r="AS73" s="146"/>
      <c r="AW73" s="34" t="s">
        <v>177</v>
      </c>
      <c r="AX73" s="34" t="str">
        <f t="shared" si="33"/>
        <v>Residual Amber</v>
      </c>
      <c r="AY73" s="34" t="str">
        <f t="shared" si="34"/>
        <v/>
      </c>
      <c r="AZ73" s="34" t="str">
        <f t="shared" si="35"/>
        <v/>
      </c>
      <c r="BA73" s="34" t="str">
        <f t="shared" si="36"/>
        <v>49. Waiting space, shelter and seating at bus stop</v>
      </c>
      <c r="BB73" s="35">
        <f>IF(VLOOKUP($H73,'How the score is generated (H)'!$B$4:$H$73,2,0)="ü",$Q73,0)</f>
        <v>0</v>
      </c>
      <c r="BC73" s="36">
        <f>IF(VLOOKUP($H73,'How the score is generated (H)'!$B$4:$H$73,2,0)="ü",$S73,0)</f>
        <v>0</v>
      </c>
      <c r="BD73" s="145">
        <f>IF(OR($M73=0,$N73=2),0,IF(VLOOKUP($H73,'How the score is generated (H)'!$B$4:$H$73,2,0)="ü",2,0))</f>
        <v>2</v>
      </c>
      <c r="BE73" s="35">
        <f>IF(VLOOKUP($H73,'How the score is generated (H)'!$B$4:$H$73,3,0)="ü",$Q73,0)</f>
        <v>0</v>
      </c>
      <c r="BF73" s="36">
        <f>IF(VLOOKUP($H73,'How the score is generated (H)'!$B$4:$H$73,3,0)="ü",$S73,0)</f>
        <v>0</v>
      </c>
      <c r="BG73" s="145">
        <f>IF(OR($M73=0,$N73=2),0,IF(VLOOKUP($H73,'How the score is generated (H)'!$B$4:$H$73,3,0)="ü",2,0))</f>
        <v>2</v>
      </c>
      <c r="BH73" s="35">
        <f>IF(VLOOKUP($H73,'How the score is generated (H)'!$B$4:$H$73,4,0)="ü",$Q73,0)</f>
        <v>0</v>
      </c>
      <c r="BI73" s="36">
        <f>IF(VLOOKUP($H73,'How the score is generated (H)'!$B$4:$H$73,4,0)="ü",$S73,0)</f>
        <v>0</v>
      </c>
      <c r="BJ73" s="145">
        <f>IF(OR($M73=0,$N73=2),0,IF(VLOOKUP($H73,'How the score is generated (H)'!$B$4:$H$73,4,0)="ü",2,0))</f>
        <v>0</v>
      </c>
      <c r="BK73" s="35">
        <f>IF(VLOOKUP($H73,'How the score is generated (H)'!$B$4:$H$73,5,0)="ü",$Q73,0)</f>
        <v>0</v>
      </c>
      <c r="BL73" s="36">
        <f>IF(VLOOKUP($H73,'How the score is generated (H)'!$B$4:$H$73,5,0)="ü",$S73,0)</f>
        <v>0</v>
      </c>
      <c r="BM73" s="145">
        <f>IF(OR($M73=0,$N73=2),0,IF(VLOOKUP($H73,'How the score is generated (H)'!$B$4:$H$73,5,0)="ü",2,0))</f>
        <v>2</v>
      </c>
      <c r="BN73" s="35">
        <f>IF(VLOOKUP($H73,'How the score is generated (H)'!$B$4:$H$73,6,0)="ü",$Q73,0)</f>
        <v>0</v>
      </c>
      <c r="BO73" s="36">
        <f>IF(VLOOKUP($H73,'How the score is generated (H)'!$B$4:$H$73,6,0)="ü",$S73,0)</f>
        <v>0</v>
      </c>
      <c r="BP73" s="145">
        <f>IF(OR($M73=0,$N73=2),0,IF(VLOOKUP($H73,'How the score is generated (H)'!$B$4:$H$73,6,0)="ü",2,0))</f>
        <v>2</v>
      </c>
      <c r="BQ73" s="35">
        <f>IF(VLOOKUP($H73,'How the score is generated (H)'!$B$4:$H$73,7,0)="ü",$Q73,0)</f>
        <v>0</v>
      </c>
      <c r="BR73" s="36">
        <f>IF(VLOOKUP($H73,'How the score is generated (H)'!$B$4:$H$73,7,0)="ü",$S73,0)</f>
        <v>0</v>
      </c>
      <c r="BS73" s="145">
        <f>IF(OR($M73=0,$N73=2),0,IF(VLOOKUP($H73,'How the score is generated (H)'!$B$4:$H$73,7,0)="ü",2,0))</f>
        <v>0</v>
      </c>
      <c r="BT73" s="23"/>
      <c r="BU73" s="35">
        <f>IF(VLOOKUP($H73,'How the score is generated (P)'!$B$4:$H$73,2,0)="ü",$Q73,0)</f>
        <v>0</v>
      </c>
      <c r="BV73" s="36">
        <f>IF(VLOOKUP($H73,'How the score is generated (P)'!$B$4:$H$73,2,0)="ü",$S73,0)</f>
        <v>0</v>
      </c>
      <c r="BW73" s="145">
        <f>IF(OR($M73=0,$N73=2),0,IF(VLOOKUP($H73,'How the score is generated (P)'!$B$4:$I$73,2,0)="ü",2,0))</f>
        <v>0</v>
      </c>
      <c r="BX73" s="35">
        <f>IF(VLOOKUP($H73,'How the score is generated (P)'!$B$4:$H$73,3,0)="ü",$Q73,0)</f>
        <v>0</v>
      </c>
      <c r="BY73" s="36">
        <f>IF(VLOOKUP($H73,'How the score is generated (P)'!$B$4:$H$73,3,0)="ü",$S73,0)</f>
        <v>0</v>
      </c>
      <c r="BZ73" s="145">
        <f>IF(OR($M73=0,$N73=2),0,IF(VLOOKUP($H73,'How the score is generated (P)'!$B$4:$I$73,3,0)="ü",2,0))</f>
        <v>0</v>
      </c>
      <c r="CA73" s="35">
        <f>IF(VLOOKUP($H73,'How the score is generated (P)'!$B$4:$H$73,4,0)="ü",$Q73,0)</f>
        <v>0</v>
      </c>
      <c r="CB73" s="36">
        <f>IF(VLOOKUP($H73,'How the score is generated (P)'!$B$4:$H$73,4,0)="ü",$S73,0)</f>
        <v>0</v>
      </c>
      <c r="CC73" s="145">
        <f>IF(OR($M73=0,$N73=2),0,IF(VLOOKUP($H73,'How the score is generated (P)'!$B$4:$I$73,4,0)="ü",2,0))</f>
        <v>2</v>
      </c>
      <c r="CD73" s="35">
        <f>IF(VLOOKUP($H73,'How the score is generated (P)'!$B$4:$H$73,5,0)="ü",$Q73,0)</f>
        <v>0</v>
      </c>
      <c r="CE73" s="36">
        <f>IF(VLOOKUP($H73,'How the score is generated (P)'!$B$4:$H$73,5,0)="ü",$S73,0)</f>
        <v>0</v>
      </c>
      <c r="CF73" s="145">
        <f>IF(OR($M73=0,$N73=2),0,IF(VLOOKUP($H73,'How the score is generated (P)'!$B$4:$I$73,5,0)="ü",2,0))</f>
        <v>2</v>
      </c>
      <c r="CG73" s="35">
        <f>IF(VLOOKUP($H73,'How the score is generated (P)'!$B$4:$H$73,6,0)="ü",$Q73,0)</f>
        <v>0</v>
      </c>
      <c r="CH73" s="36">
        <f>IF(VLOOKUP($H73,'How the score is generated (P)'!$B$4:$H$73,6,0)="ü",$S73,0)</f>
        <v>0</v>
      </c>
      <c r="CI73" s="145">
        <f>IF(OR($M73=0,$N73=2),0,IF(VLOOKUP($H73,'How the score is generated (P)'!$B$4:$I$73,6,0)="ü",2,0))</f>
        <v>2</v>
      </c>
      <c r="CJ73" s="35">
        <f>IF(VLOOKUP($H73,'How the score is generated (P)'!$B$4:$H$73,7,0)="ü",$Q73,0)</f>
        <v>0</v>
      </c>
      <c r="CK73" s="36">
        <f>IF(VLOOKUP($H73,'How the score is generated (P)'!$B$4:$H$73,7,0)="ü",$S73,0)</f>
        <v>0</v>
      </c>
      <c r="CL73" s="145">
        <f>IF(OR($M73=0,$N73=2),0,IF(VLOOKUP($H73,'How the score is generated (P)'!$B$4:$I$73,7,0)="ü",2,0))</f>
        <v>2</v>
      </c>
      <c r="CM73" s="35">
        <f>IF(VLOOKUP($H73,'How the score is generated (P)'!$B$4:$I$73,8,0)="ü",$Q73,0)</f>
        <v>0</v>
      </c>
      <c r="CN73" s="36">
        <f>IF(VLOOKUP($H73,'How the score is generated (P)'!$B$4:$I$73,8,0)="ü",$S73,0)</f>
        <v>0</v>
      </c>
      <c r="CO73" s="145">
        <f>IF(OR($M73=0,$N73=2),0,IF(VLOOKUP($H73,'How the score is generated (P)'!$B$4:$I$73,8,0)="ü",2,0))</f>
        <v>2</v>
      </c>
      <c r="CP73" s="300"/>
    </row>
    <row r="74" spans="1:94" ht="97.5" customHeight="1" thickBot="1" x14ac:dyDescent="0.4">
      <c r="A74" s="23"/>
      <c r="B74" s="64"/>
      <c r="C74" s="181" t="str">
        <f>Validation!$S$7</f>
        <v xml:space="preserve">Group 6. Public transport </v>
      </c>
      <c r="D74" s="164">
        <f>D73+1</f>
        <v>50</v>
      </c>
      <c r="E74" s="182" t="s">
        <v>43</v>
      </c>
      <c r="F74" s="186" t="s">
        <v>43</v>
      </c>
      <c r="G74" s="39" t="s">
        <v>1012</v>
      </c>
      <c r="H74" s="41" t="s">
        <v>240</v>
      </c>
      <c r="I74" s="390" t="s">
        <v>896</v>
      </c>
      <c r="J74" s="382" t="s">
        <v>1209</v>
      </c>
      <c r="K74" s="189" t="s">
        <v>1210</v>
      </c>
      <c r="L74" s="191" t="s">
        <v>242</v>
      </c>
      <c r="M74" s="129">
        <f>IF(Project!$B$27="Off-Street",0,IF(Project!$B$41="Yes",1,0))</f>
        <v>1</v>
      </c>
      <c r="N74" s="425">
        <f t="shared" si="30"/>
        <v>0</v>
      </c>
      <c r="O74" s="144"/>
      <c r="P74" s="144"/>
      <c r="Q74" s="441">
        <f>IF(OR($M74=0,$O74="N/A"),"NA",VLOOKUP($O74,Validation!$D$2:$E$7,2,0))</f>
        <v>0</v>
      </c>
      <c r="R74" s="129">
        <f t="shared" si="31"/>
        <v>2</v>
      </c>
      <c r="S74" s="441">
        <f>IF(OR($M74=0,$P74="N/A"),"NA",VLOOKUP($P74,Validation!$D$2:$E$7,2,0))</f>
        <v>0</v>
      </c>
      <c r="T74" s="34">
        <f t="shared" si="32"/>
        <v>2</v>
      </c>
      <c r="U74" s="35">
        <f>IF(VLOOKUP($H74,'How the score is generated'!$B$4:$I$73,2,0)="ü",$Q74,0)</f>
        <v>0</v>
      </c>
      <c r="V74" s="36">
        <f>IF(VLOOKUP($H74,'How the score is generated'!$B$4:$I$73,2,0)="ü",$S74,0)</f>
        <v>0</v>
      </c>
      <c r="W74" s="145">
        <f>IF(OR($M74=0,$N74=2),0,IF(VLOOKUP($H74,'How the score is generated'!$B$4:$I$73,2,0)="ü",2,0))</f>
        <v>0</v>
      </c>
      <c r="X74" s="35">
        <f>IF(VLOOKUP($H74,'How the score is generated'!$B$4:$I$73,3,0)="ü",$Q74,0)</f>
        <v>0</v>
      </c>
      <c r="Y74" s="36">
        <f>IF(VLOOKUP($H74,'How the score is generated'!$B$4:$I$73,3,0)="ü",$S74,0)</f>
        <v>0</v>
      </c>
      <c r="Z74" s="145">
        <f>IF(OR($M74=0,$N74=2),0,IF(VLOOKUP($H74,'How the score is generated'!$B$4:$I$73,3,0)="ü",2,0))</f>
        <v>0</v>
      </c>
      <c r="AA74" s="35">
        <f>IF(VLOOKUP($H74,'How the score is generated'!$B$4:$I$73,4,0)="ü",$Q74,0)</f>
        <v>0</v>
      </c>
      <c r="AB74" s="36">
        <f>IF(VLOOKUP($H74,'How the score is generated'!$B$4:$I$73,4,0)="ü",$S74,0)</f>
        <v>0</v>
      </c>
      <c r="AC74" s="145">
        <f>IF(OR($M74=0,$N74=2),0,IF(VLOOKUP($H74,'How the score is generated'!$B$4:$I$73,4,0)="ü",2,0))</f>
        <v>0</v>
      </c>
      <c r="AD74" s="35">
        <f>IF(VLOOKUP($H74,'How the score is generated'!$B$4:$I$73,5,0)="ü",$Q74,0)</f>
        <v>0</v>
      </c>
      <c r="AE74" s="36">
        <f>IF(VLOOKUP($H74,'How the score is generated'!$B$4:$I$73,5,0)="ü",$S74,0)</f>
        <v>0</v>
      </c>
      <c r="AF74" s="145">
        <f>IF(OR($M74=0,$N74=2),0,IF(VLOOKUP($H74,'How the score is generated'!$B$4:$I$73,5,0)="ü",2,0))</f>
        <v>2</v>
      </c>
      <c r="AG74" s="35">
        <f>IF(VLOOKUP($H74,'How the score is generated'!$B$4:$I$73,6,0)="ü",$Q74,0)</f>
        <v>0</v>
      </c>
      <c r="AH74" s="36">
        <f>IF(VLOOKUP($H74,'How the score is generated'!$B$4:$I$73,6,0)="ü",$S74,0)</f>
        <v>0</v>
      </c>
      <c r="AI74" s="145">
        <f>IF(OR($M74=0,$N74=2),0,IF(VLOOKUP($H74,'How the score is generated'!$B$4:$I$73,6,0)="ü",2,0))</f>
        <v>0</v>
      </c>
      <c r="AJ74" s="35">
        <f>IF(VLOOKUP($H74,'How the score is generated'!$B$4:$I$73,7,0)="ü",$Q74,0)</f>
        <v>0</v>
      </c>
      <c r="AK74" s="36">
        <f>IF(VLOOKUP($H74,'How the score is generated'!$B$4:$I$73,7,0)="ü",$S74,0)</f>
        <v>0</v>
      </c>
      <c r="AL74" s="145">
        <f>IF(OR($M74=0,$N74=2),0,IF(VLOOKUP($H74,'How the score is generated'!$B$4:$I$73,7,0)="ü",2,0))</f>
        <v>0</v>
      </c>
      <c r="AM74" s="35">
        <f>IF(VLOOKUP($H74,'How the score is generated'!$B$4:$I$73,8,0)="ü",$Q74,0)</f>
        <v>0</v>
      </c>
      <c r="AN74" s="36">
        <f>IF(VLOOKUP($H74,'How the score is generated'!$B$4:$I$73,8,0)="ü",$S74,0)</f>
        <v>0</v>
      </c>
      <c r="AO74" s="145">
        <f>IF(OR($M74=0,$N74=2),0,IF(VLOOKUP($H74,'How the score is generated'!$B$4:$I$73,8,0)="ü",2,0))</f>
        <v>0</v>
      </c>
      <c r="AP74" s="23"/>
      <c r="AQ74" s="404"/>
      <c r="AR74" s="23"/>
      <c r="AS74" s="146"/>
      <c r="AW74" s="34" t="s">
        <v>177</v>
      </c>
      <c r="AX74" s="34" t="str">
        <f t="shared" si="33"/>
        <v>Residual Amber</v>
      </c>
      <c r="AY74" s="34" t="str">
        <f t="shared" si="34"/>
        <v/>
      </c>
      <c r="AZ74" s="34" t="str">
        <f t="shared" si="35"/>
        <v/>
      </c>
      <c r="BA74" s="34" t="str">
        <f t="shared" si="36"/>
        <v>50. Customer information at bus stop</v>
      </c>
      <c r="BB74" s="35">
        <f>IF(VLOOKUP($H74,'How the score is generated (H)'!$B$4:$H$73,2,0)="ü",$Q74,0)</f>
        <v>0</v>
      </c>
      <c r="BC74" s="36">
        <f>IF(VLOOKUP($H74,'How the score is generated (H)'!$B$4:$H$73,2,0)="ü",$S74,0)</f>
        <v>0</v>
      </c>
      <c r="BD74" s="145">
        <f>IF(OR($M74=0,$N74=2),0,IF(VLOOKUP($H74,'How the score is generated (H)'!$B$4:$H$73,2,0)="ü",2,0))</f>
        <v>2</v>
      </c>
      <c r="BE74" s="35">
        <f>IF(VLOOKUP($H74,'How the score is generated (H)'!$B$4:$H$73,3,0)="ü",$Q74,0)</f>
        <v>0</v>
      </c>
      <c r="BF74" s="36">
        <f>IF(VLOOKUP($H74,'How the score is generated (H)'!$B$4:$H$73,3,0)="ü",$S74,0)</f>
        <v>0</v>
      </c>
      <c r="BG74" s="145">
        <f>IF(OR($M74=0,$N74=2),0,IF(VLOOKUP($H74,'How the score is generated (H)'!$B$4:$H$73,3,0)="ü",2,0))</f>
        <v>2</v>
      </c>
      <c r="BH74" s="35">
        <f>IF(VLOOKUP($H74,'How the score is generated (H)'!$B$4:$H$73,4,0)="ü",$Q74,0)</f>
        <v>0</v>
      </c>
      <c r="BI74" s="36">
        <f>IF(VLOOKUP($H74,'How the score is generated (H)'!$B$4:$H$73,4,0)="ü",$S74,0)</f>
        <v>0</v>
      </c>
      <c r="BJ74" s="145">
        <f>IF(OR($M74=0,$N74=2),0,IF(VLOOKUP($H74,'How the score is generated (H)'!$B$4:$H$73,4,0)="ü",2,0))</f>
        <v>0</v>
      </c>
      <c r="BK74" s="35">
        <f>IF(VLOOKUP($H74,'How the score is generated (H)'!$B$4:$H$73,5,0)="ü",$Q74,0)</f>
        <v>0</v>
      </c>
      <c r="BL74" s="36">
        <f>IF(VLOOKUP($H74,'How the score is generated (H)'!$B$4:$H$73,5,0)="ü",$S74,0)</f>
        <v>0</v>
      </c>
      <c r="BM74" s="145">
        <f>IF(OR($M74=0,$N74=2),0,IF(VLOOKUP($H74,'How the score is generated (H)'!$B$4:$H$73,5,0)="ü",2,0))</f>
        <v>2</v>
      </c>
      <c r="BN74" s="35">
        <f>IF(VLOOKUP($H74,'How the score is generated (H)'!$B$4:$H$73,6,0)="ü",$Q74,0)</f>
        <v>0</v>
      </c>
      <c r="BO74" s="36">
        <f>IF(VLOOKUP($H74,'How the score is generated (H)'!$B$4:$H$73,6,0)="ü",$S74,0)</f>
        <v>0</v>
      </c>
      <c r="BP74" s="145">
        <f>IF(OR($M74=0,$N74=2),0,IF(VLOOKUP($H74,'How the score is generated (H)'!$B$4:$H$73,6,0)="ü",2,0))</f>
        <v>2</v>
      </c>
      <c r="BQ74" s="35">
        <f>IF(VLOOKUP($H74,'How the score is generated (H)'!$B$4:$H$73,7,0)="ü",$Q74,0)</f>
        <v>0</v>
      </c>
      <c r="BR74" s="36">
        <f>IF(VLOOKUP($H74,'How the score is generated (H)'!$B$4:$H$73,7,0)="ü",$S74,0)</f>
        <v>0</v>
      </c>
      <c r="BS74" s="145">
        <f>IF(OR($M74=0,$N74=2),0,IF(VLOOKUP($H74,'How the score is generated (H)'!$B$4:$H$73,7,0)="ü",2,0))</f>
        <v>0</v>
      </c>
      <c r="BT74" s="23"/>
      <c r="BU74" s="35">
        <f>IF(VLOOKUP($H74,'How the score is generated (P)'!$B$4:$H$73,2,0)="ü",$Q74,0)</f>
        <v>0</v>
      </c>
      <c r="BV74" s="36">
        <f>IF(VLOOKUP($H74,'How the score is generated (P)'!$B$4:$H$73,2,0)="ü",$S74,0)</f>
        <v>0</v>
      </c>
      <c r="BW74" s="145">
        <f>IF(OR($M74=0,$N74=2),0,IF(VLOOKUP($H74,'How the score is generated (P)'!$B$4:$I$73,2,0)="ü",2,0))</f>
        <v>0</v>
      </c>
      <c r="BX74" s="35">
        <f>IF(VLOOKUP($H74,'How the score is generated (P)'!$B$4:$H$73,3,0)="ü",$Q74,0)</f>
        <v>0</v>
      </c>
      <c r="BY74" s="36">
        <f>IF(VLOOKUP($H74,'How the score is generated (P)'!$B$4:$H$73,3,0)="ü",$S74,0)</f>
        <v>0</v>
      </c>
      <c r="BZ74" s="145">
        <f>IF(OR($M74=0,$N74=2),0,IF(VLOOKUP($H74,'How the score is generated (P)'!$B$4:$I$73,3,0)="ü",2,0))</f>
        <v>0</v>
      </c>
      <c r="CA74" s="35">
        <f>IF(VLOOKUP($H74,'How the score is generated (P)'!$B$4:$H$73,4,0)="ü",$Q74,0)</f>
        <v>0</v>
      </c>
      <c r="CB74" s="36">
        <f>IF(VLOOKUP($H74,'How the score is generated (P)'!$B$4:$H$73,4,0)="ü",$S74,0)</f>
        <v>0</v>
      </c>
      <c r="CC74" s="145">
        <f>IF(OR($M74=0,$N74=2),0,IF(VLOOKUP($H74,'How the score is generated (P)'!$B$4:$I$73,4,0)="ü",2,0))</f>
        <v>2</v>
      </c>
      <c r="CD74" s="35">
        <f>IF(VLOOKUP($H74,'How the score is generated (P)'!$B$4:$H$73,5,0)="ü",$Q74,0)</f>
        <v>0</v>
      </c>
      <c r="CE74" s="36">
        <f>IF(VLOOKUP($H74,'How the score is generated (P)'!$B$4:$H$73,5,0)="ü",$S74,0)</f>
        <v>0</v>
      </c>
      <c r="CF74" s="145">
        <f>IF(OR($M74=0,$N74=2),0,IF(VLOOKUP($H74,'How the score is generated (P)'!$B$4:$I$73,5,0)="ü",2,0))</f>
        <v>2</v>
      </c>
      <c r="CG74" s="35">
        <f>IF(VLOOKUP($H74,'How the score is generated (P)'!$B$4:$H$73,6,0)="ü",$Q74,0)</f>
        <v>0</v>
      </c>
      <c r="CH74" s="36">
        <f>IF(VLOOKUP($H74,'How the score is generated (P)'!$B$4:$H$73,6,0)="ü",$S74,0)</f>
        <v>0</v>
      </c>
      <c r="CI74" s="145">
        <f>IF(OR($M74=0,$N74=2),0,IF(VLOOKUP($H74,'How the score is generated (P)'!$B$4:$I$73,6,0)="ü",2,0))</f>
        <v>2</v>
      </c>
      <c r="CJ74" s="35">
        <f>IF(VLOOKUP($H74,'How the score is generated (P)'!$B$4:$H$73,7,0)="ü",$Q74,0)</f>
        <v>0</v>
      </c>
      <c r="CK74" s="36">
        <f>IF(VLOOKUP($H74,'How the score is generated (P)'!$B$4:$H$73,7,0)="ü",$S74,0)</f>
        <v>0</v>
      </c>
      <c r="CL74" s="145">
        <f>IF(OR($M74=0,$N74=2),0,IF(VLOOKUP($H74,'How the score is generated (P)'!$B$4:$I$73,7,0)="ü",2,0))</f>
        <v>2</v>
      </c>
      <c r="CM74" s="35">
        <f>IF(VLOOKUP($H74,'How the score is generated (P)'!$B$4:$I$73,8,0)="ü",$Q74,0)</f>
        <v>0</v>
      </c>
      <c r="CN74" s="36">
        <f>IF(VLOOKUP($H74,'How the score is generated (P)'!$B$4:$I$73,8,0)="ü",$S74,0)</f>
        <v>0</v>
      </c>
      <c r="CO74" s="145">
        <f>IF(OR($M74=0,$N74=2),0,IF(VLOOKUP($H74,'How the score is generated (P)'!$B$4:$I$73,8,0)="ü",2,0))</f>
        <v>2</v>
      </c>
      <c r="CP74" s="300"/>
    </row>
    <row r="75" spans="1:94" ht="97" customHeight="1" thickBot="1" x14ac:dyDescent="0.4">
      <c r="A75" s="23"/>
      <c r="B75" s="64"/>
      <c r="C75" s="181" t="str">
        <f>Validation!$S$7</f>
        <v xml:space="preserve">Group 6. Public transport </v>
      </c>
      <c r="D75" s="164">
        <f>D74+1</f>
        <v>51</v>
      </c>
      <c r="E75" s="38" t="s">
        <v>43</v>
      </c>
      <c r="F75" s="198" t="s">
        <v>43</v>
      </c>
      <c r="G75" s="39" t="s">
        <v>1013</v>
      </c>
      <c r="H75" s="41" t="s">
        <v>1208</v>
      </c>
      <c r="I75" s="40" t="s">
        <v>1211</v>
      </c>
      <c r="J75" s="383" t="s">
        <v>245</v>
      </c>
      <c r="K75" s="41" t="s">
        <v>246</v>
      </c>
      <c r="L75" s="42" t="s">
        <v>247</v>
      </c>
      <c r="M75" s="129">
        <f>IF(Project!$B$27="Off-Street",0,IF(Project!$B$41="Yes",1,0))</f>
        <v>1</v>
      </c>
      <c r="N75" s="425">
        <f t="shared" si="30"/>
        <v>0</v>
      </c>
      <c r="O75" s="144"/>
      <c r="P75" s="144"/>
      <c r="Q75" s="441">
        <f>IF(OR($M75=0,$O75="N/A"),"NA",VLOOKUP($O75,Validation!$D$2:$E$7,2,0))</f>
        <v>0</v>
      </c>
      <c r="R75" s="129">
        <f t="shared" si="31"/>
        <v>2</v>
      </c>
      <c r="S75" s="441">
        <f>IF(OR($M75=0,$P75="N/A"),"NA",VLOOKUP($P75,Validation!$D$2:$E$7,2,0))</f>
        <v>0</v>
      </c>
      <c r="T75" s="34">
        <f t="shared" si="32"/>
        <v>2</v>
      </c>
      <c r="U75" s="35">
        <f>IF(VLOOKUP($H75,'How the score is generated'!$B$4:$I$73,2,0)="ü",$Q75,0)</f>
        <v>0</v>
      </c>
      <c r="V75" s="36">
        <f>IF(VLOOKUP($H75,'How the score is generated'!$B$4:$I$73,2,0)="ü",$S75,0)</f>
        <v>0</v>
      </c>
      <c r="W75" s="145">
        <f>IF(OR($M75=0,$N75=2),0,IF(VLOOKUP($H75,'How the score is generated'!$B$4:$I$73,2,0)="ü",2,0))</f>
        <v>0</v>
      </c>
      <c r="X75" s="35">
        <f>IF(VLOOKUP($H75,'How the score is generated'!$B$4:$I$73,3,0)="ü",$Q75,0)</f>
        <v>0</v>
      </c>
      <c r="Y75" s="36">
        <f>IF(VLOOKUP($H75,'How the score is generated'!$B$4:$I$73,3,0)="ü",$S75,0)</f>
        <v>0</v>
      </c>
      <c r="Z75" s="145">
        <f>IF(OR($M75=0,$N75=2),0,IF(VLOOKUP($H75,'How the score is generated'!$B$4:$I$73,3,0)="ü",2,0))</f>
        <v>0</v>
      </c>
      <c r="AA75" s="35">
        <f>IF(VLOOKUP($H75,'How the score is generated'!$B$4:$I$73,4,0)="ü",$Q75,0)</f>
        <v>0</v>
      </c>
      <c r="AB75" s="36">
        <f>IF(VLOOKUP($H75,'How the score is generated'!$B$4:$I$73,4,0)="ü",$S75,0)</f>
        <v>0</v>
      </c>
      <c r="AC75" s="145">
        <f>IF(OR($M75=0,$N75=2),0,IF(VLOOKUP($H75,'How the score is generated'!$B$4:$I$73,4,0)="ü",2,0))</f>
        <v>0</v>
      </c>
      <c r="AD75" s="35">
        <f>IF(VLOOKUP($H75,'How the score is generated'!$B$4:$I$73,5,0)="ü",$Q75,0)</f>
        <v>0</v>
      </c>
      <c r="AE75" s="36">
        <f>IF(VLOOKUP($H75,'How the score is generated'!$B$4:$I$73,5,0)="ü",$S75,0)</f>
        <v>0</v>
      </c>
      <c r="AF75" s="145">
        <f>IF(OR($M75=0,$N75=2),0,IF(VLOOKUP($H75,'How the score is generated'!$B$4:$I$73,5,0)="ü",2,0))</f>
        <v>2</v>
      </c>
      <c r="AG75" s="35">
        <f>IF(VLOOKUP($H75,'How the score is generated'!$B$4:$I$73,6,0)="ü",$Q75,0)</f>
        <v>0</v>
      </c>
      <c r="AH75" s="36">
        <f>IF(VLOOKUP($H75,'How the score is generated'!$B$4:$I$73,6,0)="ü",$S75,0)</f>
        <v>0</v>
      </c>
      <c r="AI75" s="145">
        <f>IF(OR($M75=0,$N75=2),0,IF(VLOOKUP($H75,'How the score is generated'!$B$4:$I$73,6,0)="ü",2,0))</f>
        <v>0</v>
      </c>
      <c r="AJ75" s="35">
        <f>IF(VLOOKUP($H75,'How the score is generated'!$B$4:$I$73,7,0)="ü",$Q75,0)</f>
        <v>0</v>
      </c>
      <c r="AK75" s="36">
        <f>IF(VLOOKUP($H75,'How the score is generated'!$B$4:$I$73,7,0)="ü",$S75,0)</f>
        <v>0</v>
      </c>
      <c r="AL75" s="145">
        <f>IF(OR($M75=0,$N75=2),0,IF(VLOOKUP($H75,'How the score is generated'!$B$4:$I$73,7,0)="ü",2,0))</f>
        <v>0</v>
      </c>
      <c r="AM75" s="35">
        <f>IF(VLOOKUP($H75,'How the score is generated'!$B$4:$I$73,8,0)="ü",$Q75,0)</f>
        <v>0</v>
      </c>
      <c r="AN75" s="36">
        <f>IF(VLOOKUP($H75,'How the score is generated'!$B$4:$I$73,8,0)="ü",$S75,0)</f>
        <v>0</v>
      </c>
      <c r="AO75" s="145">
        <f>IF(OR($M75=0,$N75=2),0,IF(VLOOKUP($H75,'How the score is generated'!$B$4:$I$73,8,0)="ü",2,0))</f>
        <v>0</v>
      </c>
      <c r="AP75" s="23"/>
      <c r="AQ75" s="404"/>
      <c r="AR75" s="23"/>
      <c r="AS75" s="146"/>
      <c r="AW75" s="34"/>
      <c r="AX75" s="34" t="str">
        <f t="shared" si="33"/>
        <v/>
      </c>
      <c r="AY75" s="34" t="str">
        <f t="shared" si="34"/>
        <v/>
      </c>
      <c r="AZ75" s="34" t="str">
        <f t="shared" si="35"/>
        <v/>
      </c>
      <c r="BA75" s="34" t="str">
        <f t="shared" si="36"/>
        <v>51. Perception of safety at stop</v>
      </c>
      <c r="BB75" s="35">
        <f>IF(VLOOKUP($H75,'How the score is generated (H)'!$B$4:$H$73,2,0)="ü",$Q75,0)</f>
        <v>0</v>
      </c>
      <c r="BC75" s="36">
        <f>IF(VLOOKUP($H75,'How the score is generated (H)'!$B$4:$H$73,2,0)="ü",$S75,0)</f>
        <v>0</v>
      </c>
      <c r="BD75" s="145">
        <f>IF(OR($M75=0,$N75=2),0,IF(VLOOKUP($H75,'How the score is generated (H)'!$B$4:$H$73,2,0)="ü",2,0))</f>
        <v>2</v>
      </c>
      <c r="BE75" s="35">
        <f>IF(VLOOKUP($H75,'How the score is generated (H)'!$B$4:$H$73,3,0)="ü",$Q75,0)</f>
        <v>0</v>
      </c>
      <c r="BF75" s="36">
        <f>IF(VLOOKUP($H75,'How the score is generated (H)'!$B$4:$H$73,3,0)="ü",$S75,0)</f>
        <v>0</v>
      </c>
      <c r="BG75" s="145">
        <f>IF(OR($M75=0,$N75=2),0,IF(VLOOKUP($H75,'How the score is generated (H)'!$B$4:$H$73,3,0)="ü",2,0))</f>
        <v>2</v>
      </c>
      <c r="BH75" s="35">
        <f>IF(VLOOKUP($H75,'How the score is generated (H)'!$B$4:$H$73,4,0)="ü",$Q75,0)</f>
        <v>0</v>
      </c>
      <c r="BI75" s="36">
        <f>IF(VLOOKUP($H75,'How the score is generated (H)'!$B$4:$H$73,4,0)="ü",$S75,0)</f>
        <v>0</v>
      </c>
      <c r="BJ75" s="145">
        <f>IF(OR($M75=0,$N75=2),0,IF(VLOOKUP($H75,'How the score is generated (H)'!$B$4:$H$73,4,0)="ü",2,0))</f>
        <v>0</v>
      </c>
      <c r="BK75" s="35">
        <f>IF(VLOOKUP($H75,'How the score is generated (H)'!$B$4:$H$73,5,0)="ü",$Q75,0)</f>
        <v>0</v>
      </c>
      <c r="BL75" s="36">
        <f>IF(VLOOKUP($H75,'How the score is generated (H)'!$B$4:$H$73,5,0)="ü",$S75,0)</f>
        <v>0</v>
      </c>
      <c r="BM75" s="145">
        <f>IF(OR($M75=0,$N75=2),0,IF(VLOOKUP($H75,'How the score is generated (H)'!$B$4:$H$73,5,0)="ü",2,0))</f>
        <v>2</v>
      </c>
      <c r="BN75" s="35">
        <f>IF(VLOOKUP($H75,'How the score is generated (H)'!$B$4:$H$73,6,0)="ü",$Q75,0)</f>
        <v>0</v>
      </c>
      <c r="BO75" s="36">
        <f>IF(VLOOKUP($H75,'How the score is generated (H)'!$B$4:$H$73,6,0)="ü",$S75,0)</f>
        <v>0</v>
      </c>
      <c r="BP75" s="145">
        <f>IF(OR($M75=0,$N75=2),0,IF(VLOOKUP($H75,'How the score is generated (H)'!$B$4:$H$73,6,0)="ü",2,0))</f>
        <v>2</v>
      </c>
      <c r="BQ75" s="35">
        <f>IF(VLOOKUP($H75,'How the score is generated (H)'!$B$4:$H$73,7,0)="ü",$Q75,0)</f>
        <v>0</v>
      </c>
      <c r="BR75" s="36">
        <f>IF(VLOOKUP($H75,'How the score is generated (H)'!$B$4:$H$73,7,0)="ü",$S75,0)</f>
        <v>0</v>
      </c>
      <c r="BS75" s="145">
        <f>IF(OR($M75=0,$N75=2),0,IF(VLOOKUP($H75,'How the score is generated (H)'!$B$4:$H$73,7,0)="ü",2,0))</f>
        <v>0</v>
      </c>
      <c r="BT75" s="23"/>
      <c r="BU75" s="35">
        <f>IF(VLOOKUP($H75,'How the score is generated (P)'!$B$4:$H$73,2,0)="ü",$Q75,0)</f>
        <v>0</v>
      </c>
      <c r="BV75" s="36">
        <f>IF(VLOOKUP($H75,'How the score is generated (P)'!$B$4:$H$73,2,0)="ü",$S75,0)</f>
        <v>0</v>
      </c>
      <c r="BW75" s="145">
        <f>IF(OR($M75=0,$N75=2),0,IF(VLOOKUP($H75,'How the score is generated (P)'!$B$4:$I$73,2,0)="ü",2,0))</f>
        <v>2</v>
      </c>
      <c r="BX75" s="35">
        <f>IF(VLOOKUP($H75,'How the score is generated (P)'!$B$4:$H$73,3,0)="ü",$Q75,0)</f>
        <v>0</v>
      </c>
      <c r="BY75" s="36">
        <f>IF(VLOOKUP($H75,'How the score is generated (P)'!$B$4:$H$73,3,0)="ü",$S75,0)</f>
        <v>0</v>
      </c>
      <c r="BZ75" s="145">
        <f>IF(OR($M75=0,$N75=2),0,IF(VLOOKUP($H75,'How the score is generated (P)'!$B$4:$I$73,3,0)="ü",2,0))</f>
        <v>2</v>
      </c>
      <c r="CA75" s="35">
        <f>IF(VLOOKUP($H75,'How the score is generated (P)'!$B$4:$H$73,4,0)="ü",$Q75,0)</f>
        <v>0</v>
      </c>
      <c r="CB75" s="36">
        <f>IF(VLOOKUP($H75,'How the score is generated (P)'!$B$4:$H$73,4,0)="ü",$S75,0)</f>
        <v>0</v>
      </c>
      <c r="CC75" s="145">
        <f>IF(OR($M75=0,$N75=2),0,IF(VLOOKUP($H75,'How the score is generated (P)'!$B$4:$I$73,4,0)="ü",2,0))</f>
        <v>2</v>
      </c>
      <c r="CD75" s="35">
        <f>IF(VLOOKUP($H75,'How the score is generated (P)'!$B$4:$H$73,5,0)="ü",$Q75,0)</f>
        <v>0</v>
      </c>
      <c r="CE75" s="36">
        <f>IF(VLOOKUP($H75,'How the score is generated (P)'!$B$4:$H$73,5,0)="ü",$S75,0)</f>
        <v>0</v>
      </c>
      <c r="CF75" s="145">
        <f>IF(OR($M75=0,$N75=2),0,IF(VLOOKUP($H75,'How the score is generated (P)'!$B$4:$I$73,5,0)="ü",2,0))</f>
        <v>2</v>
      </c>
      <c r="CG75" s="35">
        <f>IF(VLOOKUP($H75,'How the score is generated (P)'!$B$4:$H$73,6,0)="ü",$Q75,0)</f>
        <v>0</v>
      </c>
      <c r="CH75" s="36">
        <f>IF(VLOOKUP($H75,'How the score is generated (P)'!$B$4:$H$73,6,0)="ü",$S75,0)</f>
        <v>0</v>
      </c>
      <c r="CI75" s="145">
        <f>IF(OR($M75=0,$N75=2),0,IF(VLOOKUP($H75,'How the score is generated (P)'!$B$4:$I$73,6,0)="ü",2,0))</f>
        <v>2</v>
      </c>
      <c r="CJ75" s="35">
        <f>IF(VLOOKUP($H75,'How the score is generated (P)'!$B$4:$H$73,7,0)="ü",$Q75,0)</f>
        <v>0</v>
      </c>
      <c r="CK75" s="36">
        <f>IF(VLOOKUP($H75,'How the score is generated (P)'!$B$4:$H$73,7,0)="ü",$S75,0)</f>
        <v>0</v>
      </c>
      <c r="CL75" s="145">
        <f>IF(OR($M75=0,$N75=2),0,IF(VLOOKUP($H75,'How the score is generated (P)'!$B$4:$I$73,7,0)="ü",2,0))</f>
        <v>2</v>
      </c>
      <c r="CM75" s="35">
        <f>IF(VLOOKUP($H75,'How the score is generated (P)'!$B$4:$I$73,8,0)="ü",$Q75,0)</f>
        <v>0</v>
      </c>
      <c r="CN75" s="36">
        <f>IF(VLOOKUP($H75,'How the score is generated (P)'!$B$4:$I$73,8,0)="ü",$S75,0)</f>
        <v>0</v>
      </c>
      <c r="CO75" s="145">
        <f>IF(OR($M75=0,$N75=2),0,IF(VLOOKUP($H75,'How the score is generated (P)'!$B$4:$I$73,8,0)="ü",2,0))</f>
        <v>0</v>
      </c>
      <c r="CP75" s="300"/>
    </row>
    <row r="76" spans="1:94" ht="79.5" customHeight="1" thickBot="1" x14ac:dyDescent="0.4">
      <c r="A76" s="23"/>
      <c r="B76" s="85"/>
      <c r="C76" s="181" t="str">
        <f>Validation!$S$7</f>
        <v xml:space="preserve">Group 6. Public transport </v>
      </c>
      <c r="D76" s="165">
        <f>D75+1</f>
        <v>52</v>
      </c>
      <c r="E76" s="185" t="s">
        <v>43</v>
      </c>
      <c r="F76" s="188" t="s">
        <v>43</v>
      </c>
      <c r="G76" s="177" t="s">
        <v>248</v>
      </c>
      <c r="H76" s="178" t="s">
        <v>1014</v>
      </c>
      <c r="I76" s="403" t="s">
        <v>896</v>
      </c>
      <c r="J76" s="384" t="s">
        <v>250</v>
      </c>
      <c r="K76" s="194" t="s">
        <v>251</v>
      </c>
      <c r="L76" s="195" t="s">
        <v>252</v>
      </c>
      <c r="M76" s="129">
        <f>IF(Project!$B$27="Off-Street",0,IF(Project!$B$41="Yes",1,0))</f>
        <v>1</v>
      </c>
      <c r="N76" s="425">
        <f t="shared" si="30"/>
        <v>0</v>
      </c>
      <c r="O76" s="144"/>
      <c r="P76" s="144"/>
      <c r="Q76" s="441">
        <f>IF(OR($M76=0,$O76="N/A"),"NA",VLOOKUP($O76,Validation!$D$2:$E$7,2,0))</f>
        <v>0</v>
      </c>
      <c r="R76" s="129">
        <f t="shared" si="31"/>
        <v>2</v>
      </c>
      <c r="S76" s="441">
        <f>IF(OR($M76=0,$P76="N/A"),"NA",VLOOKUP($P76,Validation!$D$2:$E$7,2,0))</f>
        <v>0</v>
      </c>
      <c r="T76" s="34">
        <f t="shared" si="32"/>
        <v>2</v>
      </c>
      <c r="U76" s="35">
        <f>IF(VLOOKUP($H76,'How the score is generated'!$B$4:$I$73,2,0)="ü",$Q76,0)</f>
        <v>0</v>
      </c>
      <c r="V76" s="36">
        <f>IF(VLOOKUP($H76,'How the score is generated'!$B$4:$I$73,2,0)="ü",$S76,0)</f>
        <v>0</v>
      </c>
      <c r="W76" s="145">
        <f>IF(OR($M76=0,$N76=2),0,IF(VLOOKUP($H76,'How the score is generated'!$B$4:$I$73,2,0)="ü",2,0))</f>
        <v>0</v>
      </c>
      <c r="X76" s="35">
        <f>IF(VLOOKUP($H76,'How the score is generated'!$B$4:$I$73,3,0)="ü",$Q76,0)</f>
        <v>0</v>
      </c>
      <c r="Y76" s="36">
        <f>IF(VLOOKUP($H76,'How the score is generated'!$B$4:$I$73,3,0)="ü",$S76,0)</f>
        <v>0</v>
      </c>
      <c r="Z76" s="145">
        <f>IF(OR($M76=0,$N76=2),0,IF(VLOOKUP($H76,'How the score is generated'!$B$4:$I$73,3,0)="ü",2,0))</f>
        <v>0</v>
      </c>
      <c r="AA76" s="35">
        <f>IF(VLOOKUP($H76,'How the score is generated'!$B$4:$I$73,4,0)="ü",$Q76,0)</f>
        <v>0</v>
      </c>
      <c r="AB76" s="36">
        <f>IF(VLOOKUP($H76,'How the score is generated'!$B$4:$I$73,4,0)="ü",$S76,0)</f>
        <v>0</v>
      </c>
      <c r="AC76" s="145">
        <f>IF(OR($M76=0,$N76=2),0,IF(VLOOKUP($H76,'How the score is generated'!$B$4:$I$73,4,0)="ü",2,0))</f>
        <v>0</v>
      </c>
      <c r="AD76" s="35">
        <f>IF(VLOOKUP($H76,'How the score is generated'!$B$4:$I$73,5,0)="ü",$Q76,0)</f>
        <v>0</v>
      </c>
      <c r="AE76" s="36">
        <f>IF(VLOOKUP($H76,'How the score is generated'!$B$4:$I$73,5,0)="ü",$S76,0)</f>
        <v>0</v>
      </c>
      <c r="AF76" s="145">
        <f>IF(OR($M76=0,$N76=2),0,IF(VLOOKUP($H76,'How the score is generated'!$B$4:$I$73,5,0)="ü",2,0))</f>
        <v>2</v>
      </c>
      <c r="AG76" s="35">
        <f>IF(VLOOKUP($H76,'How the score is generated'!$B$4:$I$73,6,0)="ü",$Q76,0)</f>
        <v>0</v>
      </c>
      <c r="AH76" s="36">
        <f>IF(VLOOKUP($H76,'How the score is generated'!$B$4:$I$73,6,0)="ü",$S76,0)</f>
        <v>0</v>
      </c>
      <c r="AI76" s="145">
        <f>IF(OR($M76=0,$N76=2),0,IF(VLOOKUP($H76,'How the score is generated'!$B$4:$I$73,6,0)="ü",2,0))</f>
        <v>0</v>
      </c>
      <c r="AJ76" s="35">
        <f>IF(VLOOKUP($H76,'How the score is generated'!$B$4:$I$73,7,0)="ü",$Q76,0)</f>
        <v>0</v>
      </c>
      <c r="AK76" s="36">
        <f>IF(VLOOKUP($H76,'How the score is generated'!$B$4:$I$73,7,0)="ü",$S76,0)</f>
        <v>0</v>
      </c>
      <c r="AL76" s="145">
        <f>IF(OR($M76=0,$N76=2),0,IF(VLOOKUP($H76,'How the score is generated'!$B$4:$I$73,7,0)="ü",2,0))</f>
        <v>2</v>
      </c>
      <c r="AM76" s="35">
        <f>IF(VLOOKUP($H76,'How the score is generated'!$B$4:$I$73,8,0)="ü",$Q76,0)</f>
        <v>0</v>
      </c>
      <c r="AN76" s="36">
        <f>IF(VLOOKUP($H76,'How the score is generated'!$B$4:$I$73,8,0)="ü",$S76,0)</f>
        <v>0</v>
      </c>
      <c r="AO76" s="145">
        <f>IF(OR($M76=0,$N76=2),0,IF(VLOOKUP($H76,'How the score is generated'!$B$4:$I$73,8,0)="ü",2,0))</f>
        <v>0</v>
      </c>
      <c r="AP76" s="23"/>
      <c r="AQ76" s="450" t="s">
        <v>1053</v>
      </c>
      <c r="AR76" s="23"/>
      <c r="AS76" s="146"/>
      <c r="AW76" s="34" t="s">
        <v>177</v>
      </c>
      <c r="AX76" s="34" t="str">
        <f t="shared" si="33"/>
        <v>Residual Amber</v>
      </c>
      <c r="AY76" s="34" t="str">
        <f t="shared" si="34"/>
        <v/>
      </c>
      <c r="AZ76" s="34" t="str">
        <f t="shared" si="35"/>
        <v/>
      </c>
      <c r="BA76" s="34" t="str">
        <f t="shared" si="36"/>
        <v>52. Bus priority measures - bus lanes, bus gates etc.</v>
      </c>
      <c r="BB76" s="35">
        <f>IF(VLOOKUP($H76,'How the score is generated (H)'!$B$4:$H$73,2,0)="ü",$Q76,0)</f>
        <v>0</v>
      </c>
      <c r="BC76" s="36">
        <f>IF(VLOOKUP($H76,'How the score is generated (H)'!$B$4:$H$73,2,0)="ü",$S76,0)</f>
        <v>0</v>
      </c>
      <c r="BD76" s="145">
        <f>IF(OR($M76=0,$N76=2),0,IF(VLOOKUP($H76,'How the score is generated (H)'!$B$4:$H$73,2,0)="ü",2,0))</f>
        <v>0</v>
      </c>
      <c r="BE76" s="35">
        <f>IF(VLOOKUP($H76,'How the score is generated (H)'!$B$4:$H$73,3,0)="ü",$Q76,0)</f>
        <v>0</v>
      </c>
      <c r="BF76" s="36">
        <f>IF(VLOOKUP($H76,'How the score is generated (H)'!$B$4:$H$73,3,0)="ü",$S76,0)</f>
        <v>0</v>
      </c>
      <c r="BG76" s="145">
        <f>IF(OR($M76=0,$N76=2),0,IF(VLOOKUP($H76,'How the score is generated (H)'!$B$4:$H$73,3,0)="ü",2,0))</f>
        <v>0</v>
      </c>
      <c r="BH76" s="35">
        <f>IF(VLOOKUP($H76,'How the score is generated (H)'!$B$4:$H$73,4,0)="ü",$Q76,0)</f>
        <v>0</v>
      </c>
      <c r="BI76" s="36">
        <f>IF(VLOOKUP($H76,'How the score is generated (H)'!$B$4:$H$73,4,0)="ü",$S76,0)</f>
        <v>0</v>
      </c>
      <c r="BJ76" s="145">
        <f>IF(OR($M76=0,$N76=2),0,IF(VLOOKUP($H76,'How the score is generated (H)'!$B$4:$H$73,4,0)="ü",2,0))</f>
        <v>0</v>
      </c>
      <c r="BK76" s="35">
        <f>IF(VLOOKUP($H76,'How the score is generated (H)'!$B$4:$H$73,5,0)="ü",$Q76,0)</f>
        <v>0</v>
      </c>
      <c r="BL76" s="36">
        <f>IF(VLOOKUP($H76,'How the score is generated (H)'!$B$4:$H$73,5,0)="ü",$S76,0)</f>
        <v>0</v>
      </c>
      <c r="BM76" s="145">
        <f>IF(OR($M76=0,$N76=2),0,IF(VLOOKUP($H76,'How the score is generated (H)'!$B$4:$H$73,5,0)="ü",2,0))</f>
        <v>0</v>
      </c>
      <c r="BN76" s="35">
        <f>IF(VLOOKUP($H76,'How the score is generated (H)'!$B$4:$H$73,6,0)="ü",$Q76,0)</f>
        <v>0</v>
      </c>
      <c r="BO76" s="36">
        <f>IF(VLOOKUP($H76,'How the score is generated (H)'!$B$4:$H$73,6,0)="ü",$S76,0)</f>
        <v>0</v>
      </c>
      <c r="BP76" s="145">
        <f>IF(OR($M76=0,$N76=2),0,IF(VLOOKUP($H76,'How the score is generated (H)'!$B$4:$H$73,6,0)="ü",2,0))</f>
        <v>0</v>
      </c>
      <c r="BQ76" s="35">
        <f>IF(VLOOKUP($H76,'How the score is generated (H)'!$B$4:$H$73,7,0)="ü",$Q76,0)</f>
        <v>0</v>
      </c>
      <c r="BR76" s="36">
        <f>IF(VLOOKUP($H76,'How the score is generated (H)'!$B$4:$H$73,7,0)="ü",$S76,0)</f>
        <v>0</v>
      </c>
      <c r="BS76" s="145">
        <f>IF(OR($M76=0,$N76=2),0,IF(VLOOKUP($H76,'How the score is generated (H)'!$B$4:$H$73,7,0)="ü",2,0))</f>
        <v>2</v>
      </c>
      <c r="BT76" s="23"/>
      <c r="BU76" s="35">
        <f>IF(VLOOKUP($H76,'How the score is generated (P)'!$B$4:$H$73,2,0)="ü",$Q76,0)</f>
        <v>0</v>
      </c>
      <c r="BV76" s="36">
        <f>IF(VLOOKUP($H76,'How the score is generated (P)'!$B$4:$H$73,2,0)="ü",$S76,0)</f>
        <v>0</v>
      </c>
      <c r="BW76" s="145">
        <f>IF(OR($M76=0,$N76=2),0,IF(VLOOKUP($H76,'How the score is generated (P)'!$B$4:$I$73,2,0)="ü",2,0))</f>
        <v>0</v>
      </c>
      <c r="BX76" s="35">
        <f>IF(VLOOKUP($H76,'How the score is generated (P)'!$B$4:$H$73,3,0)="ü",$Q76,0)</f>
        <v>0</v>
      </c>
      <c r="BY76" s="36">
        <f>IF(VLOOKUP($H76,'How the score is generated (P)'!$B$4:$H$73,3,0)="ü",$S76,0)</f>
        <v>0</v>
      </c>
      <c r="BZ76" s="145">
        <f>IF(OR($M76=0,$N76=2),0,IF(VLOOKUP($H76,'How the score is generated (P)'!$B$4:$I$73,3,0)="ü",2,0))</f>
        <v>0</v>
      </c>
      <c r="CA76" s="35">
        <f>IF(VLOOKUP($H76,'How the score is generated (P)'!$B$4:$H$73,4,0)="ü",$Q76,0)</f>
        <v>0</v>
      </c>
      <c r="CB76" s="36">
        <f>IF(VLOOKUP($H76,'How the score is generated (P)'!$B$4:$H$73,4,0)="ü",$S76,0)</f>
        <v>0</v>
      </c>
      <c r="CC76" s="145">
        <f>IF(OR($M76=0,$N76=2),0,IF(VLOOKUP($H76,'How the score is generated (P)'!$B$4:$I$73,4,0)="ü",2,0))</f>
        <v>2</v>
      </c>
      <c r="CD76" s="35">
        <f>IF(VLOOKUP($H76,'How the score is generated (P)'!$B$4:$H$73,5,0)="ü",$Q76,0)</f>
        <v>0</v>
      </c>
      <c r="CE76" s="36">
        <f>IF(VLOOKUP($H76,'How the score is generated (P)'!$B$4:$H$73,5,0)="ü",$S76,0)</f>
        <v>0</v>
      </c>
      <c r="CF76" s="145">
        <f>IF(OR($M76=0,$N76=2),0,IF(VLOOKUP($H76,'How the score is generated (P)'!$B$4:$I$73,5,0)="ü",2,0))</f>
        <v>0</v>
      </c>
      <c r="CG76" s="35">
        <f>IF(VLOOKUP($H76,'How the score is generated (P)'!$B$4:$H$73,6,0)="ü",$Q76,0)</f>
        <v>0</v>
      </c>
      <c r="CH76" s="36">
        <f>IF(VLOOKUP($H76,'How the score is generated (P)'!$B$4:$H$73,6,0)="ü",$S76,0)</f>
        <v>0</v>
      </c>
      <c r="CI76" s="145">
        <f>IF(OR($M76=0,$N76=2),0,IF(VLOOKUP($H76,'How the score is generated (P)'!$B$4:$I$73,6,0)="ü",2,0))</f>
        <v>0</v>
      </c>
      <c r="CJ76" s="35">
        <f>IF(VLOOKUP($H76,'How the score is generated (P)'!$B$4:$H$73,7,0)="ü",$Q76,0)</f>
        <v>0</v>
      </c>
      <c r="CK76" s="36">
        <f>IF(VLOOKUP($H76,'How the score is generated (P)'!$B$4:$H$73,7,0)="ü",$S76,0)</f>
        <v>0</v>
      </c>
      <c r="CL76" s="145">
        <f>IF(OR($M76=0,$N76=2),0,IF(VLOOKUP($H76,'How the score is generated (P)'!$B$4:$I$73,7,0)="ü",2,0))</f>
        <v>0</v>
      </c>
      <c r="CM76" s="35">
        <f>IF(VLOOKUP($H76,'How the score is generated (P)'!$B$4:$I$73,8,0)="ü",$Q76,0)</f>
        <v>0</v>
      </c>
      <c r="CN76" s="36">
        <f>IF(VLOOKUP($H76,'How the score is generated (P)'!$B$4:$I$73,8,0)="ü",$S76,0)</f>
        <v>0</v>
      </c>
      <c r="CO76" s="145">
        <f>IF(OR($M76=0,$N76=2),0,IF(VLOOKUP($H76,'How the score is generated (P)'!$B$4:$I$73,8,0)="ü",2,0))</f>
        <v>0</v>
      </c>
      <c r="CP76" s="300"/>
    </row>
    <row r="77" spans="1:94" ht="15" thickBot="1" x14ac:dyDescent="0.4">
      <c r="A77" s="23"/>
      <c r="B77" s="31"/>
      <c r="C77" s="78"/>
      <c r="D77" s="78"/>
      <c r="E77" s="78"/>
      <c r="F77" s="78"/>
      <c r="G77" s="524" t="s">
        <v>894</v>
      </c>
      <c r="H77" s="524"/>
      <c r="I77" s="524"/>
      <c r="J77" s="524"/>
      <c r="K77" s="524"/>
      <c r="L77" s="524"/>
      <c r="M77" s="79"/>
      <c r="N77" s="79"/>
      <c r="O77" s="399"/>
      <c r="P77" s="400"/>
      <c r="Q77" s="81"/>
      <c r="R77" s="81"/>
      <c r="S77" s="81"/>
      <c r="T77" s="81"/>
      <c r="U77" s="54"/>
      <c r="V77" s="23"/>
      <c r="W77" s="23"/>
      <c r="X77" s="54"/>
      <c r="Y77" s="23"/>
      <c r="Z77" s="23"/>
      <c r="AA77" s="54"/>
      <c r="AB77" s="23"/>
      <c r="AC77" s="23"/>
      <c r="AD77" s="54"/>
      <c r="AE77" s="23"/>
      <c r="AF77" s="23"/>
      <c r="AG77" s="54"/>
      <c r="AH77" s="23"/>
      <c r="AI77" s="23"/>
      <c r="AJ77" s="54"/>
      <c r="AK77" s="23"/>
      <c r="AL77" s="23"/>
      <c r="AM77" s="54"/>
      <c r="AN77" s="23"/>
      <c r="AO77" s="23"/>
      <c r="AP77" s="23"/>
      <c r="AQ77" s="414"/>
      <c r="AR77" s="23"/>
      <c r="AS77" s="321"/>
      <c r="AW77" s="34"/>
      <c r="AX77" s="34" t="str">
        <f t="shared" si="33"/>
        <v/>
      </c>
      <c r="AY77" s="34" t="str">
        <f t="shared" si="34"/>
        <v/>
      </c>
      <c r="AZ77" s="34" t="str">
        <f t="shared" si="35"/>
        <v/>
      </c>
      <c r="BA77" s="34" t="str">
        <f t="shared" si="36"/>
        <v xml:space="preserve">. </v>
      </c>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row>
    <row r="78" spans="1:94" ht="78.5" thickBot="1" x14ac:dyDescent="0.4">
      <c r="A78" s="23"/>
      <c r="B78" s="31"/>
      <c r="C78" s="210" t="str">
        <f>Validation!$S$7</f>
        <v xml:space="preserve">Group 6. Public transport </v>
      </c>
      <c r="D78" s="163">
        <f>D76+1</f>
        <v>53</v>
      </c>
      <c r="E78" s="183" t="s">
        <v>43</v>
      </c>
      <c r="F78" s="167" t="s">
        <v>20</v>
      </c>
      <c r="G78" s="173" t="s">
        <v>254</v>
      </c>
      <c r="H78" s="174" t="s">
        <v>377</v>
      </c>
      <c r="I78" s="175" t="s">
        <v>255</v>
      </c>
      <c r="J78" s="174"/>
      <c r="K78" s="174" t="s">
        <v>256</v>
      </c>
      <c r="L78" s="176" t="s">
        <v>984</v>
      </c>
      <c r="M78" s="129">
        <f>IF(Project!$B$27="Off-Street",0,IF(Project!$I$37="Yes",1,0))</f>
        <v>1</v>
      </c>
      <c r="N78" s="425">
        <f t="shared" si="30"/>
        <v>0</v>
      </c>
      <c r="O78" s="144"/>
      <c r="P78" s="144"/>
      <c r="Q78" s="441">
        <f>IF(OR($M78=0,$O78="N/A"),"NA",VLOOKUP($O78,Validation!$D$2:$E$7,2,0))</f>
        <v>0</v>
      </c>
      <c r="R78" s="129">
        <f t="shared" si="31"/>
        <v>2</v>
      </c>
      <c r="S78" s="441">
        <f>IF(OR($M78=0,$P78="N/A"),"NA",VLOOKUP($P78,Validation!$D$2:$E$7,2,0))</f>
        <v>0</v>
      </c>
      <c r="T78" s="34">
        <f t="shared" si="32"/>
        <v>2</v>
      </c>
      <c r="U78" s="35">
        <f>IF(VLOOKUP($H78,'How the score is generated'!$B$4:$I$73,2,0)="ü",$Q78,0)</f>
        <v>0</v>
      </c>
      <c r="V78" s="36">
        <f>IF(VLOOKUP($H78,'How the score is generated'!$B$4:$I$73,2,0)="ü",$S78,0)</f>
        <v>0</v>
      </c>
      <c r="W78" s="145">
        <f>IF(OR($M78=0,$N78=2),0,IF(VLOOKUP($H78,'How the score is generated'!$B$4:$I$73,2,0)="ü",2,0))</f>
        <v>0</v>
      </c>
      <c r="X78" s="35">
        <f>IF(VLOOKUP($H78,'How the score is generated'!$B$4:$I$73,3,0)="ü",$Q78,0)</f>
        <v>0</v>
      </c>
      <c r="Y78" s="36">
        <f>IF(VLOOKUP($H78,'How the score is generated'!$B$4:$I$73,3,0)="ü",$S78,0)</f>
        <v>0</v>
      </c>
      <c r="Z78" s="145">
        <f>IF(OR($M78=0,$N78=2),0,IF(VLOOKUP($H78,'How the score is generated'!$B$4:$I$73,3,0)="ü",2,0))</f>
        <v>0</v>
      </c>
      <c r="AA78" s="35">
        <f>IF(VLOOKUP($H78,'How the score is generated'!$B$4:$I$73,4,0)="ü",$Q78,0)</f>
        <v>0</v>
      </c>
      <c r="AB78" s="36">
        <f>IF(VLOOKUP($H78,'How the score is generated'!$B$4:$I$73,4,0)="ü",$S78,0)</f>
        <v>0</v>
      </c>
      <c r="AC78" s="145">
        <f>IF(OR($M78=0,$N78=2),0,IF(VLOOKUP($H78,'How the score is generated'!$B$4:$I$73,4,0)="ü",2,0))</f>
        <v>2</v>
      </c>
      <c r="AD78" s="35">
        <f>IF(VLOOKUP($H78,'How the score is generated'!$B$4:$I$73,5,0)="ü",$Q78,0)</f>
        <v>0</v>
      </c>
      <c r="AE78" s="36">
        <f>IF(VLOOKUP($H78,'How the score is generated'!$B$4:$I$73,5,0)="ü",$S78,0)</f>
        <v>0</v>
      </c>
      <c r="AF78" s="145">
        <f>IF(OR($M78=0,$N78=2),0,IF(VLOOKUP($H78,'How the score is generated'!$B$4:$I$73,5,0)="ü",2,0))</f>
        <v>2</v>
      </c>
      <c r="AG78" s="35">
        <f>IF(VLOOKUP($H78,'How the score is generated'!$B$4:$I$73,6,0)="ü",$Q78,0)</f>
        <v>0</v>
      </c>
      <c r="AH78" s="36">
        <f>IF(VLOOKUP($H78,'How the score is generated'!$B$4:$I$73,6,0)="ü",$S78,0)</f>
        <v>0</v>
      </c>
      <c r="AI78" s="145">
        <f>IF(OR($M78=0,$N78=2),0,IF(VLOOKUP($H78,'How the score is generated'!$B$4:$I$73,6,0)="ü",2,0))</f>
        <v>0</v>
      </c>
      <c r="AJ78" s="35">
        <f>IF(VLOOKUP($H78,'How the score is generated'!$B$4:$I$73,7,0)="ü",$Q78,0)</f>
        <v>0</v>
      </c>
      <c r="AK78" s="36">
        <f>IF(VLOOKUP($H78,'How the score is generated'!$B$4:$I$73,7,0)="ü",$S78,0)</f>
        <v>0</v>
      </c>
      <c r="AL78" s="145">
        <f>IF(OR($M78=0,$N78=2),0,IF(VLOOKUP($H78,'How the score is generated'!$B$4:$I$73,7,0)="ü",2,0))</f>
        <v>0</v>
      </c>
      <c r="AM78" s="35">
        <f>IF(VLOOKUP($H78,'How the score is generated'!$B$4:$I$73,8,0)="ü",$Q78,0)</f>
        <v>0</v>
      </c>
      <c r="AN78" s="36">
        <f>IF(VLOOKUP($H78,'How the score is generated'!$B$4:$I$73,8,0)="ü",$S78,0)</f>
        <v>0</v>
      </c>
      <c r="AO78" s="145">
        <f>IF(OR($M78=0,$N78=2),0,IF(VLOOKUP($H78,'How the score is generated'!$B$4:$I$73,8,0)="ü",2,0))</f>
        <v>0</v>
      </c>
      <c r="AP78" s="23"/>
      <c r="AQ78" s="413"/>
      <c r="AR78" s="23"/>
      <c r="AS78" s="146"/>
      <c r="AW78" s="34"/>
      <c r="AX78" s="34" t="str">
        <f t="shared" si="33"/>
        <v/>
      </c>
      <c r="AY78" s="34" t="str">
        <f t="shared" si="34"/>
        <v/>
      </c>
      <c r="AZ78" s="34" t="str">
        <f t="shared" si="35"/>
        <v/>
      </c>
      <c r="BA78" s="34" t="str">
        <f t="shared" si="36"/>
        <v>53. Effective width next to a tramline on straight or curved section</v>
      </c>
      <c r="BB78" s="35">
        <f>IF(VLOOKUP($H78,'How the score is generated (H)'!$B$4:$H$73,2,0)="ü",$Q78,0)</f>
        <v>0</v>
      </c>
      <c r="BC78" s="36">
        <f>IF(VLOOKUP($H78,'How the score is generated (H)'!$B$4:$H$73,2,0)="ü",$S78,0)</f>
        <v>0</v>
      </c>
      <c r="BD78" s="145">
        <f>IF(OR($M78=0,$N78=2),0,IF(VLOOKUP($H78,'How the score is generated (H)'!$B$4:$H$73,2,0)="ü",2,0))</f>
        <v>0</v>
      </c>
      <c r="BE78" s="35">
        <f>IF(VLOOKUP($H78,'How the score is generated (H)'!$B$4:$H$73,3,0)="ü",$Q78,0)</f>
        <v>0</v>
      </c>
      <c r="BF78" s="36">
        <f>IF(VLOOKUP($H78,'How the score is generated (H)'!$B$4:$H$73,3,0)="ü",$S78,0)</f>
        <v>0</v>
      </c>
      <c r="BG78" s="145">
        <f>IF(OR($M78=0,$N78=2),0,IF(VLOOKUP($H78,'How the score is generated (H)'!$B$4:$H$73,3,0)="ü",2,0))</f>
        <v>0</v>
      </c>
      <c r="BH78" s="35">
        <f>IF(VLOOKUP($H78,'How the score is generated (H)'!$B$4:$H$73,4,0)="ü",$Q78,0)</f>
        <v>0</v>
      </c>
      <c r="BI78" s="36">
        <f>IF(VLOOKUP($H78,'How the score is generated (H)'!$B$4:$H$73,4,0)="ü",$S78,0)</f>
        <v>0</v>
      </c>
      <c r="BJ78" s="145">
        <f>IF(OR($M78=0,$N78=2),0,IF(VLOOKUP($H78,'How the score is generated (H)'!$B$4:$H$73,4,0)="ü",2,0))</f>
        <v>2</v>
      </c>
      <c r="BK78" s="35">
        <f>IF(VLOOKUP($H78,'How the score is generated (H)'!$B$4:$H$73,5,0)="ü",$Q78,0)</f>
        <v>0</v>
      </c>
      <c r="BL78" s="36">
        <f>IF(VLOOKUP($H78,'How the score is generated (H)'!$B$4:$H$73,5,0)="ü",$S78,0)</f>
        <v>0</v>
      </c>
      <c r="BM78" s="145">
        <f>IF(OR($M78=0,$N78=2),0,IF(VLOOKUP($H78,'How the score is generated (H)'!$B$4:$H$73,5,0)="ü",2,0))</f>
        <v>0</v>
      </c>
      <c r="BN78" s="35">
        <f>IF(VLOOKUP($H78,'How the score is generated (H)'!$B$4:$H$73,6,0)="ü",$Q78,0)</f>
        <v>0</v>
      </c>
      <c r="BO78" s="36">
        <f>IF(VLOOKUP($H78,'How the score is generated (H)'!$B$4:$H$73,6,0)="ü",$S78,0)</f>
        <v>0</v>
      </c>
      <c r="BP78" s="145">
        <f>IF(OR($M78=0,$N78=2),0,IF(VLOOKUP($H78,'How the score is generated (H)'!$B$4:$H$73,6,0)="ü",2,0))</f>
        <v>0</v>
      </c>
      <c r="BQ78" s="35">
        <f>IF(VLOOKUP($H78,'How the score is generated (H)'!$B$4:$H$73,7,0)="ü",$Q78,0)</f>
        <v>0</v>
      </c>
      <c r="BR78" s="36">
        <f>IF(VLOOKUP($H78,'How the score is generated (H)'!$B$4:$H$73,7,0)="ü",$S78,0)</f>
        <v>0</v>
      </c>
      <c r="BS78" s="145">
        <f>IF(OR($M78=0,$N78=2),0,IF(VLOOKUP($H78,'How the score is generated (H)'!$B$4:$H$73,7,0)="ü",2,0))</f>
        <v>0</v>
      </c>
      <c r="BT78" s="23"/>
      <c r="BU78" s="35">
        <f>IF(VLOOKUP($H78,'How the score is generated (P)'!$B$4:$H$73,2,0)="ü",$Q78,0)</f>
        <v>0</v>
      </c>
      <c r="BV78" s="36">
        <f>IF(VLOOKUP($H78,'How the score is generated (P)'!$B$4:$H$73,2,0)="ü",$S78,0)</f>
        <v>0</v>
      </c>
      <c r="BW78" s="145">
        <f>IF(OR($M78=0,$N78=2),0,IF(VLOOKUP($H78,'How the score is generated (P)'!$B$4:$I$73,2,0)="ü",2,0))</f>
        <v>0</v>
      </c>
      <c r="BX78" s="35">
        <f>IF(VLOOKUP($H78,'How the score is generated (P)'!$B$4:$H$73,3,0)="ü",$Q78,0)</f>
        <v>0</v>
      </c>
      <c r="BY78" s="36">
        <f>IF(VLOOKUP($H78,'How the score is generated (P)'!$B$4:$H$73,3,0)="ü",$S78,0)</f>
        <v>0</v>
      </c>
      <c r="BZ78" s="145">
        <f>IF(OR($M78=0,$N78=2),0,IF(VLOOKUP($H78,'How the score is generated (P)'!$B$4:$I$73,3,0)="ü",2,0))</f>
        <v>0</v>
      </c>
      <c r="CA78" s="35">
        <f>IF(VLOOKUP($H78,'How the score is generated (P)'!$B$4:$H$73,4,0)="ü",$Q78,0)</f>
        <v>0</v>
      </c>
      <c r="CB78" s="36">
        <f>IF(VLOOKUP($H78,'How the score is generated (P)'!$B$4:$H$73,4,0)="ü",$S78,0)</f>
        <v>0</v>
      </c>
      <c r="CC78" s="145">
        <f>IF(OR($M78=0,$N78=2),0,IF(VLOOKUP($H78,'How the score is generated (P)'!$B$4:$I$73,4,0)="ü",2,0))</f>
        <v>0</v>
      </c>
      <c r="CD78" s="35">
        <f>IF(VLOOKUP($H78,'How the score is generated (P)'!$B$4:$H$73,5,0)="ü",$Q78,0)</f>
        <v>0</v>
      </c>
      <c r="CE78" s="36">
        <f>IF(VLOOKUP($H78,'How the score is generated (P)'!$B$4:$H$73,5,0)="ü",$S78,0)</f>
        <v>0</v>
      </c>
      <c r="CF78" s="145">
        <f>IF(OR($M78=0,$N78=2),0,IF(VLOOKUP($H78,'How the score is generated (P)'!$B$4:$I$73,5,0)="ü",2,0))</f>
        <v>0</v>
      </c>
      <c r="CG78" s="35">
        <f>IF(VLOOKUP($H78,'How the score is generated (P)'!$B$4:$H$73,6,0)="ü",$Q78,0)</f>
        <v>0</v>
      </c>
      <c r="CH78" s="36">
        <f>IF(VLOOKUP($H78,'How the score is generated (P)'!$B$4:$H$73,6,0)="ü",$S78,0)</f>
        <v>0</v>
      </c>
      <c r="CI78" s="145">
        <f>IF(OR($M78=0,$N78=2),0,IF(VLOOKUP($H78,'How the score is generated (P)'!$B$4:$I$73,6,0)="ü",2,0))</f>
        <v>0</v>
      </c>
      <c r="CJ78" s="35">
        <f>IF(VLOOKUP($H78,'How the score is generated (P)'!$B$4:$H$73,7,0)="ü",$Q78,0)</f>
        <v>0</v>
      </c>
      <c r="CK78" s="36">
        <f>IF(VLOOKUP($H78,'How the score is generated (P)'!$B$4:$H$73,7,0)="ü",$S78,0)</f>
        <v>0</v>
      </c>
      <c r="CL78" s="145">
        <f>IF(OR($M78=0,$N78=2),0,IF(VLOOKUP($H78,'How the score is generated (P)'!$B$4:$I$73,7,0)="ü",2,0))</f>
        <v>0</v>
      </c>
      <c r="CM78" s="35">
        <f>IF(VLOOKUP($H78,'How the score is generated (P)'!$B$4:$I$73,8,0)="ü",$Q78,0)</f>
        <v>0</v>
      </c>
      <c r="CN78" s="36">
        <f>IF(VLOOKUP($H78,'How the score is generated (P)'!$B$4:$I$73,8,0)="ü",$S78,0)</f>
        <v>0</v>
      </c>
      <c r="CO78" s="145">
        <f>IF(OR($M78=0,$N78=2),0,IF(VLOOKUP($H78,'How the score is generated (P)'!$B$4:$I$73,8,0)="ü",2,0))</f>
        <v>0</v>
      </c>
      <c r="CP78" s="300" t="s">
        <v>1073</v>
      </c>
    </row>
    <row r="79" spans="1:94" ht="47.15" customHeight="1" thickBot="1" x14ac:dyDescent="0.4">
      <c r="A79" s="23"/>
      <c r="B79" s="31"/>
      <c r="C79" s="71" t="str">
        <f>Validation!$S$7</f>
        <v xml:space="preserve">Group 6. Public transport </v>
      </c>
      <c r="D79" s="165">
        <f>D78+1</f>
        <v>54</v>
      </c>
      <c r="E79" s="166" t="s">
        <v>43</v>
      </c>
      <c r="F79" s="169" t="s">
        <v>20</v>
      </c>
      <c r="G79" s="177" t="s">
        <v>257</v>
      </c>
      <c r="H79" s="178" t="s">
        <v>258</v>
      </c>
      <c r="I79" s="196" t="s">
        <v>259</v>
      </c>
      <c r="J79" s="178" t="s">
        <v>985</v>
      </c>
      <c r="K79" s="178" t="s">
        <v>261</v>
      </c>
      <c r="L79" s="180" t="s">
        <v>986</v>
      </c>
      <c r="M79" s="129">
        <f>IF(Project!$B$27="Off-Street",0,IF(Project!$I$37="Yes",1,0))</f>
        <v>1</v>
      </c>
      <c r="N79" s="425">
        <f t="shared" si="30"/>
        <v>0</v>
      </c>
      <c r="O79" s="144"/>
      <c r="P79" s="144"/>
      <c r="Q79" s="441">
        <f>IF(OR($M79=0,$O79="N/A"),"NA",VLOOKUP($O79,Validation!$D$2:$E$7,2,0))</f>
        <v>0</v>
      </c>
      <c r="R79" s="129">
        <f t="shared" si="31"/>
        <v>2</v>
      </c>
      <c r="S79" s="441">
        <f>IF(OR($M79=0,$P79="N/A"),"NA",VLOOKUP($P79,Validation!$D$2:$E$7,2,0))</f>
        <v>0</v>
      </c>
      <c r="T79" s="34">
        <f t="shared" si="32"/>
        <v>2</v>
      </c>
      <c r="U79" s="35">
        <f>IF(VLOOKUP($H79,'How the score is generated'!$B$4:$I$73,2,0)="ü",$Q79,0)</f>
        <v>0</v>
      </c>
      <c r="V79" s="36">
        <f>IF(VLOOKUP($H79,'How the score is generated'!$B$4:$I$73,2,0)="ü",$S79,0)</f>
        <v>0</v>
      </c>
      <c r="W79" s="145">
        <f>IF(OR($M79=0,$N79=2),0,IF(VLOOKUP($H79,'How the score is generated'!$B$4:$I$73,2,0)="ü",2,0))</f>
        <v>0</v>
      </c>
      <c r="X79" s="35">
        <f>IF(VLOOKUP($H79,'How the score is generated'!$B$4:$I$73,3,0)="ü",$Q79,0)</f>
        <v>0</v>
      </c>
      <c r="Y79" s="36">
        <f>IF(VLOOKUP($H79,'How the score is generated'!$B$4:$I$73,3,0)="ü",$S79,0)</f>
        <v>0</v>
      </c>
      <c r="Z79" s="145">
        <f>IF(OR($M79=0,$N79=2),0,IF(VLOOKUP($H79,'How the score is generated'!$B$4:$I$73,3,0)="ü",2,0))</f>
        <v>0</v>
      </c>
      <c r="AA79" s="35">
        <f>IF(VLOOKUP($H79,'How the score is generated'!$B$4:$I$73,4,0)="ü",$Q79,0)</f>
        <v>0</v>
      </c>
      <c r="AB79" s="36">
        <f>IF(VLOOKUP($H79,'How the score is generated'!$B$4:$I$73,4,0)="ü",$S79,0)</f>
        <v>0</v>
      </c>
      <c r="AC79" s="145">
        <f>IF(OR($M79=0,$N79=2),0,IF(VLOOKUP($H79,'How the score is generated'!$B$4:$I$73,4,0)="ü",2,0))</f>
        <v>2</v>
      </c>
      <c r="AD79" s="35">
        <f>IF(VLOOKUP($H79,'How the score is generated'!$B$4:$I$73,5,0)="ü",$Q79,0)</f>
        <v>0</v>
      </c>
      <c r="AE79" s="36">
        <f>IF(VLOOKUP($H79,'How the score is generated'!$B$4:$I$73,5,0)="ü",$S79,0)</f>
        <v>0</v>
      </c>
      <c r="AF79" s="145">
        <f>IF(OR($M79=0,$N79=2),0,IF(VLOOKUP($H79,'How the score is generated'!$B$4:$I$73,5,0)="ü",2,0))</f>
        <v>2</v>
      </c>
      <c r="AG79" s="35">
        <f>IF(VLOOKUP($H79,'How the score is generated'!$B$4:$I$73,6,0)="ü",$Q79,0)</f>
        <v>0</v>
      </c>
      <c r="AH79" s="36">
        <f>IF(VLOOKUP($H79,'How the score is generated'!$B$4:$I$73,6,0)="ü",$S79,0)</f>
        <v>0</v>
      </c>
      <c r="AI79" s="145">
        <f>IF(OR($M79=0,$N79=2),0,IF(VLOOKUP($H79,'How the score is generated'!$B$4:$I$73,6,0)="ü",2,0))</f>
        <v>0</v>
      </c>
      <c r="AJ79" s="35">
        <f>IF(VLOOKUP($H79,'How the score is generated'!$B$4:$I$73,7,0)="ü",$Q79,0)</f>
        <v>0</v>
      </c>
      <c r="AK79" s="36">
        <f>IF(VLOOKUP($H79,'How the score is generated'!$B$4:$I$73,7,0)="ü",$S79,0)</f>
        <v>0</v>
      </c>
      <c r="AL79" s="145">
        <f>IF(OR($M79=0,$N79=2),0,IF(VLOOKUP($H79,'How the score is generated'!$B$4:$I$73,7,0)="ü",2,0))</f>
        <v>0</v>
      </c>
      <c r="AM79" s="35">
        <f>IF(VLOOKUP($H79,'How the score is generated'!$B$4:$I$73,8,0)="ü",$Q79,0)</f>
        <v>0</v>
      </c>
      <c r="AN79" s="36">
        <f>IF(VLOOKUP($H79,'How the score is generated'!$B$4:$I$73,8,0)="ü",$S79,0)</f>
        <v>0</v>
      </c>
      <c r="AO79" s="145">
        <f>IF(OR($M79=0,$N79=2),0,IF(VLOOKUP($H79,'How the score is generated'!$B$4:$I$73,8,0)="ü",2,0))</f>
        <v>0</v>
      </c>
      <c r="AP79" s="23"/>
      <c r="AQ79" s="404"/>
      <c r="AR79" s="23"/>
      <c r="AS79" s="146"/>
      <c r="AW79" s="34"/>
      <c r="AX79" s="34" t="str">
        <f t="shared" si="33"/>
        <v/>
      </c>
      <c r="AY79" s="34" t="str">
        <f t="shared" si="34"/>
        <v/>
      </c>
      <c r="AZ79" s="34" t="str">
        <f t="shared" si="35"/>
        <v/>
      </c>
      <c r="BA79" s="34" t="str">
        <f t="shared" si="36"/>
        <v>54. Crossing angle</v>
      </c>
      <c r="BB79" s="35">
        <f>IF(VLOOKUP($H79,'How the score is generated (H)'!$B$4:$H$73,2,0)="ü",$Q79,0)</f>
        <v>0</v>
      </c>
      <c r="BC79" s="36">
        <f>IF(VLOOKUP($H79,'How the score is generated (H)'!$B$4:$H$73,2,0)="ü",$S79,0)</f>
        <v>0</v>
      </c>
      <c r="BD79" s="145">
        <f>IF(OR($M79=0,$N79=2),0,IF(VLOOKUP($H79,'How the score is generated (H)'!$B$4:$H$73,2,0)="ü",2,0))</f>
        <v>0</v>
      </c>
      <c r="BE79" s="35">
        <f>IF(VLOOKUP($H79,'How the score is generated (H)'!$B$4:$H$73,3,0)="ü",$Q79,0)</f>
        <v>0</v>
      </c>
      <c r="BF79" s="36">
        <f>IF(VLOOKUP($H79,'How the score is generated (H)'!$B$4:$H$73,3,0)="ü",$S79,0)</f>
        <v>0</v>
      </c>
      <c r="BG79" s="145">
        <f>IF(OR($M79=0,$N79=2),0,IF(VLOOKUP($H79,'How the score is generated (H)'!$B$4:$H$73,3,0)="ü",2,0))</f>
        <v>0</v>
      </c>
      <c r="BH79" s="35">
        <f>IF(VLOOKUP($H79,'How the score is generated (H)'!$B$4:$H$73,4,0)="ü",$Q79,0)</f>
        <v>0</v>
      </c>
      <c r="BI79" s="36">
        <f>IF(VLOOKUP($H79,'How the score is generated (H)'!$B$4:$H$73,4,0)="ü",$S79,0)</f>
        <v>0</v>
      </c>
      <c r="BJ79" s="145">
        <f>IF(OR($M79=0,$N79=2),0,IF(VLOOKUP($H79,'How the score is generated (H)'!$B$4:$H$73,4,0)="ü",2,0))</f>
        <v>2</v>
      </c>
      <c r="BK79" s="35">
        <f>IF(VLOOKUP($H79,'How the score is generated (H)'!$B$4:$H$73,5,0)="ü",$Q79,0)</f>
        <v>0</v>
      </c>
      <c r="BL79" s="36">
        <f>IF(VLOOKUP($H79,'How the score is generated (H)'!$B$4:$H$73,5,0)="ü",$S79,0)</f>
        <v>0</v>
      </c>
      <c r="BM79" s="145">
        <f>IF(OR($M79=0,$N79=2),0,IF(VLOOKUP($H79,'How the score is generated (H)'!$B$4:$H$73,5,0)="ü",2,0))</f>
        <v>0</v>
      </c>
      <c r="BN79" s="35">
        <f>IF(VLOOKUP($H79,'How the score is generated (H)'!$B$4:$H$73,6,0)="ü",$Q79,0)</f>
        <v>0</v>
      </c>
      <c r="BO79" s="36">
        <f>IF(VLOOKUP($H79,'How the score is generated (H)'!$B$4:$H$73,6,0)="ü",$S79,0)</f>
        <v>0</v>
      </c>
      <c r="BP79" s="145">
        <f>IF(OR($M79=0,$N79=2),0,IF(VLOOKUP($H79,'How the score is generated (H)'!$B$4:$H$73,6,0)="ü",2,0))</f>
        <v>0</v>
      </c>
      <c r="BQ79" s="35">
        <f>IF(VLOOKUP($H79,'How the score is generated (H)'!$B$4:$H$73,7,0)="ü",$Q79,0)</f>
        <v>0</v>
      </c>
      <c r="BR79" s="36">
        <f>IF(VLOOKUP($H79,'How the score is generated (H)'!$B$4:$H$73,7,0)="ü",$S79,0)</f>
        <v>0</v>
      </c>
      <c r="BS79" s="145">
        <f>IF(OR($M79=0,$N79=2),0,IF(VLOOKUP($H79,'How the score is generated (H)'!$B$4:$H$73,7,0)="ü",2,0))</f>
        <v>0</v>
      </c>
      <c r="BT79" s="23"/>
      <c r="BU79" s="35">
        <f>IF(VLOOKUP($H79,'How the score is generated (P)'!$B$4:$H$73,2,0)="ü",$Q79,0)</f>
        <v>0</v>
      </c>
      <c r="BV79" s="36">
        <f>IF(VLOOKUP($H79,'How the score is generated (P)'!$B$4:$H$73,2,0)="ü",$S79,0)</f>
        <v>0</v>
      </c>
      <c r="BW79" s="145">
        <f>IF(OR($M79=0,$N79=2),0,IF(VLOOKUP($H79,'How the score is generated (P)'!$B$4:$I$73,2,0)="ü",2,0))</f>
        <v>0</v>
      </c>
      <c r="BX79" s="35">
        <f>IF(VLOOKUP($H79,'How the score is generated (P)'!$B$4:$H$73,3,0)="ü",$Q79,0)</f>
        <v>0</v>
      </c>
      <c r="BY79" s="36">
        <f>IF(VLOOKUP($H79,'How the score is generated (P)'!$B$4:$H$73,3,0)="ü",$S79,0)</f>
        <v>0</v>
      </c>
      <c r="BZ79" s="145">
        <f>IF(OR($M79=0,$N79=2),0,IF(VLOOKUP($H79,'How the score is generated (P)'!$B$4:$I$73,3,0)="ü",2,0))</f>
        <v>0</v>
      </c>
      <c r="CA79" s="35">
        <f>IF(VLOOKUP($H79,'How the score is generated (P)'!$B$4:$H$73,4,0)="ü",$Q79,0)</f>
        <v>0</v>
      </c>
      <c r="CB79" s="36">
        <f>IF(VLOOKUP($H79,'How the score is generated (P)'!$B$4:$H$73,4,0)="ü",$S79,0)</f>
        <v>0</v>
      </c>
      <c r="CC79" s="145">
        <f>IF(OR($M79=0,$N79=2),0,IF(VLOOKUP($H79,'How the score is generated (P)'!$B$4:$I$73,4,0)="ü",2,0))</f>
        <v>0</v>
      </c>
      <c r="CD79" s="35">
        <f>IF(VLOOKUP($H79,'How the score is generated (P)'!$B$4:$H$73,5,0)="ü",$Q79,0)</f>
        <v>0</v>
      </c>
      <c r="CE79" s="36">
        <f>IF(VLOOKUP($H79,'How the score is generated (P)'!$B$4:$H$73,5,0)="ü",$S79,0)</f>
        <v>0</v>
      </c>
      <c r="CF79" s="145">
        <f>IF(OR($M79=0,$N79=2),0,IF(VLOOKUP($H79,'How the score is generated (P)'!$B$4:$I$73,5,0)="ü",2,0))</f>
        <v>0</v>
      </c>
      <c r="CG79" s="35">
        <f>IF(VLOOKUP($H79,'How the score is generated (P)'!$B$4:$H$73,6,0)="ü",$Q79,0)</f>
        <v>0</v>
      </c>
      <c r="CH79" s="36">
        <f>IF(VLOOKUP($H79,'How the score is generated (P)'!$B$4:$H$73,6,0)="ü",$S79,0)</f>
        <v>0</v>
      </c>
      <c r="CI79" s="145">
        <f>IF(OR($M79=0,$N79=2),0,IF(VLOOKUP($H79,'How the score is generated (P)'!$B$4:$I$73,6,0)="ü",2,0))</f>
        <v>0</v>
      </c>
      <c r="CJ79" s="35">
        <f>IF(VLOOKUP($H79,'How the score is generated (P)'!$B$4:$H$73,7,0)="ü",$Q79,0)</f>
        <v>0</v>
      </c>
      <c r="CK79" s="36">
        <f>IF(VLOOKUP($H79,'How the score is generated (P)'!$B$4:$H$73,7,0)="ü",$S79,0)</f>
        <v>0</v>
      </c>
      <c r="CL79" s="145">
        <f>IF(OR($M79=0,$N79=2),0,IF(VLOOKUP($H79,'How the score is generated (P)'!$B$4:$I$73,7,0)="ü",2,0))</f>
        <v>0</v>
      </c>
      <c r="CM79" s="35">
        <f>IF(VLOOKUP($H79,'How the score is generated (P)'!$B$4:$I$73,8,0)="ü",$Q79,0)</f>
        <v>0</v>
      </c>
      <c r="CN79" s="36">
        <f>IF(VLOOKUP($H79,'How the score is generated (P)'!$B$4:$I$73,8,0)="ü",$S79,0)</f>
        <v>0</v>
      </c>
      <c r="CO79" s="145">
        <f>IF(OR($M79=0,$N79=2),0,IF(VLOOKUP($H79,'How the score is generated (P)'!$B$4:$I$73,8,0)="ü",2,0))</f>
        <v>0</v>
      </c>
      <c r="CP79" s="300" t="s">
        <v>1074</v>
      </c>
    </row>
    <row r="80" spans="1:94" ht="15" hidden="1" thickBot="1" x14ac:dyDescent="0.4">
      <c r="A80" s="23"/>
      <c r="B80" s="86"/>
      <c r="C80" s="87"/>
      <c r="D80" s="47"/>
      <c r="E80" s="47"/>
      <c r="F80" s="47"/>
      <c r="G80" s="171" t="s">
        <v>1018</v>
      </c>
      <c r="H80" s="172"/>
      <c r="I80" s="172"/>
      <c r="J80" s="172"/>
      <c r="K80" s="172"/>
      <c r="L80" s="172"/>
      <c r="M80" s="48"/>
      <c r="N80" s="48"/>
      <c r="O80" s="49" t="str">
        <f>Q80&amp;"/"&amp;R80</f>
        <v>0/24</v>
      </c>
      <c r="P80" s="50" t="str">
        <f>S80&amp;"/"&amp;T80</f>
        <v>0/24</v>
      </c>
      <c r="Q80" s="51">
        <f>SUM(Q66:Q79)</f>
        <v>0</v>
      </c>
      <c r="R80" s="51">
        <f>SUM(R66:R79)</f>
        <v>24</v>
      </c>
      <c r="S80" s="51">
        <f>SUM(S66:S79)</f>
        <v>0</v>
      </c>
      <c r="T80" s="51">
        <f>SUM(T66:T79)</f>
        <v>24</v>
      </c>
      <c r="U80" s="54"/>
      <c r="V80" s="56"/>
      <c r="W80" s="56"/>
      <c r="X80" s="54"/>
      <c r="Y80" s="56"/>
      <c r="Z80" s="56"/>
      <c r="AA80" s="54"/>
      <c r="AB80" s="56"/>
      <c r="AC80" s="56"/>
      <c r="AD80" s="54"/>
      <c r="AE80" s="56"/>
      <c r="AF80" s="56"/>
      <c r="AG80" s="54"/>
      <c r="AH80" s="56"/>
      <c r="AI80" s="56"/>
      <c r="AJ80" s="54"/>
      <c r="AK80" s="56"/>
      <c r="AL80" s="56"/>
      <c r="AM80" s="54"/>
      <c r="AN80" s="56"/>
      <c r="AO80" s="56"/>
      <c r="AP80" s="23"/>
      <c r="AQ80" s="76"/>
      <c r="AR80" s="23"/>
      <c r="AS80" s="321"/>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row>
    <row r="81" spans="1:94" ht="21.5" thickBot="1" x14ac:dyDescent="0.4">
      <c r="A81" s="23"/>
      <c r="B81" s="62"/>
      <c r="C81" s="63"/>
      <c r="D81" s="87"/>
      <c r="E81" s="87"/>
      <c r="F81" s="87"/>
      <c r="G81" s="88"/>
      <c r="H81" s="88"/>
      <c r="I81" s="67"/>
      <c r="J81" s="61"/>
      <c r="K81" s="61"/>
      <c r="L81" s="61"/>
      <c r="M81" s="61"/>
      <c r="N81" s="61"/>
      <c r="O81" s="61"/>
      <c r="P81" s="61"/>
      <c r="Q81" s="61"/>
      <c r="R81" s="61"/>
      <c r="S81" s="61"/>
      <c r="T81" s="61"/>
      <c r="U81" s="54"/>
      <c r="V81" s="23"/>
      <c r="W81" s="23"/>
      <c r="X81" s="54"/>
      <c r="Y81" s="23"/>
      <c r="Z81" s="23"/>
      <c r="AA81" s="54"/>
      <c r="AB81" s="23"/>
      <c r="AC81" s="23"/>
      <c r="AD81" s="54"/>
      <c r="AE81" s="23"/>
      <c r="AF81" s="23"/>
      <c r="AG81" s="54"/>
      <c r="AH81" s="23"/>
      <c r="AI81" s="23"/>
      <c r="AJ81" s="54"/>
      <c r="AK81" s="23"/>
      <c r="AL81" s="23"/>
      <c r="AM81" s="54"/>
      <c r="AN81" s="23"/>
      <c r="AO81" s="23"/>
      <c r="AP81" s="23"/>
      <c r="AQ81" s="76"/>
      <c r="AR81" s="23"/>
      <c r="AS81" s="321"/>
      <c r="AW81" s="61"/>
      <c r="AX81" s="61"/>
      <c r="AY81" s="61" t="str">
        <f t="shared" ref="AY81:AY87" si="37">IF(M81=0,"",IF(O81="","",O81))</f>
        <v/>
      </c>
      <c r="AZ81" s="61" t="str">
        <f t="shared" ref="AZ81:AZ87" si="38">IF(M81=0,"",IF(P81="","",P81))</f>
        <v/>
      </c>
      <c r="BA81" s="61" t="str">
        <f t="shared" ref="BA81:BA87" si="39">D81&amp;". "&amp;H81</f>
        <v xml:space="preserve">. </v>
      </c>
      <c r="BB81" s="54"/>
      <c r="BC81" s="56"/>
      <c r="BD81" s="56"/>
      <c r="BE81" s="54"/>
      <c r="BF81" s="56"/>
      <c r="BG81" s="56"/>
      <c r="BH81" s="54"/>
      <c r="BI81" s="56"/>
      <c r="BJ81" s="56"/>
      <c r="BK81" s="54"/>
      <c r="BL81" s="56"/>
      <c r="BM81" s="56"/>
      <c r="BN81" s="54"/>
      <c r="BO81" s="56"/>
      <c r="BP81" s="56"/>
      <c r="BQ81" s="54"/>
      <c r="BR81" s="54"/>
      <c r="BS81" s="54"/>
      <c r="BT81" s="23"/>
      <c r="BU81" s="54"/>
      <c r="BV81" s="56"/>
      <c r="BW81" s="56"/>
      <c r="BX81" s="56"/>
      <c r="BY81" s="56"/>
      <c r="BZ81" s="56"/>
      <c r="CA81" s="56"/>
      <c r="CB81" s="56"/>
      <c r="CC81" s="56"/>
      <c r="CD81" s="56"/>
      <c r="CE81" s="56"/>
      <c r="CF81" s="56"/>
      <c r="CG81" s="56"/>
      <c r="CH81" s="56"/>
      <c r="CI81" s="56"/>
      <c r="CJ81" s="56"/>
      <c r="CK81" s="56"/>
      <c r="CL81" s="56"/>
      <c r="CM81" s="56"/>
      <c r="CN81" s="56"/>
      <c r="CO81" s="56"/>
    </row>
    <row r="82" spans="1:94" ht="16" thickBot="1" x14ac:dyDescent="0.4">
      <c r="A82" s="23"/>
      <c r="B82" s="31"/>
      <c r="C82" s="63"/>
      <c r="D82" s="63"/>
      <c r="E82" s="63"/>
      <c r="F82" s="63"/>
      <c r="G82" s="522" t="s">
        <v>945</v>
      </c>
      <c r="H82" s="522"/>
      <c r="I82" s="522"/>
      <c r="J82" s="522"/>
      <c r="K82" s="522"/>
      <c r="L82" s="522"/>
      <c r="M82" s="28"/>
      <c r="N82" s="28"/>
      <c r="O82" s="28" t="s">
        <v>32</v>
      </c>
      <c r="P82" s="29" t="s">
        <v>33</v>
      </c>
      <c r="Q82" s="30"/>
      <c r="R82" s="30"/>
      <c r="S82" s="30"/>
      <c r="T82" s="30"/>
      <c r="U82" s="54"/>
      <c r="V82" s="23"/>
      <c r="W82" s="23"/>
      <c r="X82" s="54"/>
      <c r="Y82" s="23"/>
      <c r="Z82" s="23"/>
      <c r="AA82" s="54"/>
      <c r="AB82" s="23"/>
      <c r="AC82" s="23"/>
      <c r="AD82" s="54"/>
      <c r="AE82" s="23"/>
      <c r="AF82" s="23"/>
      <c r="AG82" s="54"/>
      <c r="AH82" s="23"/>
      <c r="AI82" s="23"/>
      <c r="AJ82" s="54"/>
      <c r="AK82" s="23"/>
      <c r="AL82" s="23"/>
      <c r="AM82" s="54"/>
      <c r="AN82" s="23"/>
      <c r="AO82" s="23"/>
      <c r="AP82" s="23"/>
      <c r="AQ82" s="76"/>
      <c r="AR82" s="23"/>
      <c r="AS82" s="321"/>
      <c r="AW82" s="30"/>
      <c r="AX82" s="30"/>
      <c r="AY82" s="30" t="str">
        <f t="shared" si="37"/>
        <v/>
      </c>
      <c r="AZ82" s="30" t="str">
        <f t="shared" si="38"/>
        <v/>
      </c>
      <c r="BA82" s="30" t="str">
        <f t="shared" si="39"/>
        <v xml:space="preserve">. </v>
      </c>
      <c r="BB82" s="54"/>
      <c r="BC82" s="23"/>
      <c r="BD82" s="23"/>
      <c r="BE82" s="54"/>
      <c r="BF82" s="23"/>
      <c r="BG82" s="23"/>
      <c r="BH82" s="54"/>
      <c r="BI82" s="23"/>
      <c r="BJ82" s="23"/>
      <c r="BK82" s="54"/>
      <c r="BL82" s="23"/>
      <c r="BM82" s="23"/>
      <c r="BN82" s="54"/>
      <c r="BO82" s="23"/>
      <c r="BP82" s="23"/>
      <c r="BQ82" s="54"/>
      <c r="BR82" s="54"/>
      <c r="BS82" s="54"/>
      <c r="BT82" s="23"/>
      <c r="BU82" s="54"/>
      <c r="BV82" s="23"/>
      <c r="BW82" s="23"/>
      <c r="BX82" s="23"/>
      <c r="BY82" s="23"/>
      <c r="BZ82" s="23"/>
      <c r="CA82" s="23"/>
      <c r="CB82" s="23"/>
      <c r="CC82" s="23"/>
      <c r="CD82" s="23"/>
      <c r="CE82" s="23"/>
      <c r="CF82" s="23"/>
      <c r="CG82" s="23"/>
      <c r="CH82" s="23"/>
      <c r="CI82" s="23"/>
      <c r="CJ82" s="23"/>
      <c r="CK82" s="23"/>
      <c r="CL82" s="23"/>
      <c r="CM82" s="23"/>
      <c r="CN82" s="23"/>
      <c r="CO82" s="23"/>
    </row>
    <row r="83" spans="1:94" ht="54.65" customHeight="1" thickBot="1" x14ac:dyDescent="0.4">
      <c r="A83" s="23"/>
      <c r="B83" s="31"/>
      <c r="C83" s="66" t="str">
        <f>Validation!$S$8</f>
        <v xml:space="preserve">Group 7. Off-Street </v>
      </c>
      <c r="D83" s="163">
        <f>D79+1</f>
        <v>55</v>
      </c>
      <c r="E83" s="33" t="s">
        <v>39</v>
      </c>
      <c r="F83" s="167" t="s">
        <v>20</v>
      </c>
      <c r="G83" s="173" t="s">
        <v>1212</v>
      </c>
      <c r="H83" s="174" t="s">
        <v>1214</v>
      </c>
      <c r="I83" s="175" t="s">
        <v>995</v>
      </c>
      <c r="J83" s="174" t="s">
        <v>977</v>
      </c>
      <c r="K83" s="174" t="s">
        <v>268</v>
      </c>
      <c r="L83" s="176" t="s">
        <v>269</v>
      </c>
      <c r="M83" s="129">
        <f>IF(Project!$B$27="On-Street",0,1)</f>
        <v>0</v>
      </c>
      <c r="N83" s="425">
        <f>IF(AND(O83="N/A",P83="N/A"),2,0)</f>
        <v>0</v>
      </c>
      <c r="O83" s="144"/>
      <c r="P83" s="144"/>
      <c r="Q83" s="441" t="str">
        <f>IF(OR($M83=0,$O83="N/A"),"NA",VLOOKUP($O83,Validation!$D$2:$E$7,2,0))</f>
        <v>NA</v>
      </c>
      <c r="R83" s="129">
        <f>IF(OR($M83=0,$O83="N/A"),0,2)</f>
        <v>0</v>
      </c>
      <c r="S83" s="441" t="str">
        <f>IF(OR($M83=0,$P83="N/A"),"NA",VLOOKUP($P83,Validation!$D$2:$E$7,2,0))</f>
        <v>NA</v>
      </c>
      <c r="T83" s="34">
        <f>IF(OR($M83=0,$P83="N/A"),0,2)</f>
        <v>0</v>
      </c>
      <c r="U83" s="35">
        <f>IF(VLOOKUP($H83,'How the score is generated'!$B$4:$I$73,2,0)="ü",$Q83,0)</f>
        <v>0</v>
      </c>
      <c r="V83" s="36">
        <f>IF(VLOOKUP($H83,'How the score is generated'!$B$4:$I$73,2,0)="ü",$S83,0)</f>
        <v>0</v>
      </c>
      <c r="W83" s="145">
        <f>IF(OR($M83=0,$N83=2),0,IF(VLOOKUP($H83,'How the score is generated'!$B$4:$I$73,2,0)="ü",2,0))</f>
        <v>0</v>
      </c>
      <c r="X83" s="35" t="str">
        <f>IF(VLOOKUP($H83,'How the score is generated'!$B$4:$I$73,3,0)="ü",$Q83,0)</f>
        <v>NA</v>
      </c>
      <c r="Y83" s="36" t="str">
        <f>IF(VLOOKUP($H83,'How the score is generated'!$B$4:$I$73,3,0)="ü",$S83,0)</f>
        <v>NA</v>
      </c>
      <c r="Z83" s="145">
        <f>IF(OR($M83=0,$N83=2),0,IF(VLOOKUP($H83,'How the score is generated'!$B$4:$I$73,3,0)="ü",2,0))</f>
        <v>0</v>
      </c>
      <c r="AA83" s="35" t="str">
        <f>IF(VLOOKUP($H83,'How the score is generated'!$B$4:$I$73,4,0)="ü",$Q83,0)</f>
        <v>NA</v>
      </c>
      <c r="AB83" s="36" t="str">
        <f>IF(VLOOKUP($H83,'How the score is generated'!$B$4:$I$73,4,0)="ü",$S83,0)</f>
        <v>NA</v>
      </c>
      <c r="AC83" s="145">
        <f>IF(OR($M83=0,$N83=2),0,IF(VLOOKUP($H83,'How the score is generated'!$B$4:$I$73,4,0)="ü",2,0))</f>
        <v>0</v>
      </c>
      <c r="AD83" s="35">
        <f>IF(VLOOKUP($H83,'How the score is generated'!$B$4:$I$73,5,0)="ü",$Q83,0)</f>
        <v>0</v>
      </c>
      <c r="AE83" s="36">
        <f>IF(VLOOKUP($H83,'How the score is generated'!$B$4:$I$73,5,0)="ü",$S83,0)</f>
        <v>0</v>
      </c>
      <c r="AF83" s="145">
        <f>IF(OR($M83=0,$N83=2),0,IF(VLOOKUP($H83,'How the score is generated'!$B$4:$I$73,5,0)="ü",2,0))</f>
        <v>0</v>
      </c>
      <c r="AG83" s="35">
        <f>IF(VLOOKUP($H83,'How the score is generated'!$B$4:$I$73,6,0)="ü",$Q83,0)</f>
        <v>0</v>
      </c>
      <c r="AH83" s="36">
        <f>IF(VLOOKUP($H83,'How the score is generated'!$B$4:$I$73,6,0)="ü",$S83,0)</f>
        <v>0</v>
      </c>
      <c r="AI83" s="145">
        <f>IF(OR($M83=0,$N83=2),0,IF(VLOOKUP($H83,'How the score is generated'!$B$4:$I$73,6,0)="ü",2,0))</f>
        <v>0</v>
      </c>
      <c r="AJ83" s="35">
        <f>IF(VLOOKUP($H83,'How the score is generated'!$B$4:$I$73,7,0)="ü",$Q83,0)</f>
        <v>0</v>
      </c>
      <c r="AK83" s="36">
        <f>IF(VLOOKUP($H83,'How the score is generated'!$B$4:$I$73,7,0)="ü",$S83,0)</f>
        <v>0</v>
      </c>
      <c r="AL83" s="145">
        <f>IF(OR($M83=0,$N83=2),0,IF(VLOOKUP($H83,'How the score is generated'!$B$4:$I$73,7,0)="ü",2,0))</f>
        <v>0</v>
      </c>
      <c r="AM83" s="35">
        <f>IF(VLOOKUP($H83,'How the score is generated'!$B$4:$I$73,8,0)="ü",$Q83,0)</f>
        <v>0</v>
      </c>
      <c r="AN83" s="36">
        <f>IF(VLOOKUP($H83,'How the score is generated'!$B$4:$I$73,8,0)="ü",$S83,0)</f>
        <v>0</v>
      </c>
      <c r="AO83" s="145">
        <f>IF(OR($M83=0,$N83=2),0,IF(VLOOKUP($H83,'How the score is generated'!$B$4:$I$73,8,0)="ü",2,0))</f>
        <v>0</v>
      </c>
      <c r="AP83" s="23"/>
      <c r="AQ83" s="407" t="s">
        <v>998</v>
      </c>
      <c r="AR83" s="23"/>
      <c r="AS83" s="146"/>
      <c r="AW83" s="34"/>
      <c r="AX83" s="34" t="str">
        <f>IF(AW83="Amber",IF(S83=0,"Residual Amber",""),"")</f>
        <v/>
      </c>
      <c r="AY83" s="34" t="str">
        <f t="shared" si="37"/>
        <v/>
      </c>
      <c r="AZ83" s="34" t="str">
        <f t="shared" si="38"/>
        <v/>
      </c>
      <c r="BA83" s="34" t="str">
        <f t="shared" si="39"/>
        <v>55. Width of shared use path</v>
      </c>
      <c r="BB83" s="35" t="str">
        <f>IF(VLOOKUP($H83,'How the score is generated (H)'!$B$4:$H$73,2,0)="ü",$Q83,0)</f>
        <v>NA</v>
      </c>
      <c r="BC83" s="36" t="str">
        <f>IF(VLOOKUP($H83,'How the score is generated (H)'!$B$4:$H$73,2,0)="ü",$S83,0)</f>
        <v>NA</v>
      </c>
      <c r="BD83" s="145">
        <f>IF(OR($M83=0,$N83=2),0,IF(VLOOKUP($H83,'How the score is generated (H)'!$B$4:$H$73,2,0)="ü",2,0))</f>
        <v>0</v>
      </c>
      <c r="BE83" s="35" t="str">
        <f>IF(VLOOKUP($H83,'How the score is generated (H)'!$B$4:$H$73,3,0)="ü",$Q83,0)</f>
        <v>NA</v>
      </c>
      <c r="BF83" s="36" t="str">
        <f>IF(VLOOKUP($H83,'How the score is generated (H)'!$B$4:$H$73,3,0)="ü",$S83,0)</f>
        <v>NA</v>
      </c>
      <c r="BG83" s="145">
        <f>IF(OR($M83=0,$N83=2),0,IF(VLOOKUP($H83,'How the score is generated (H)'!$B$4:$H$73,3,0)="ü",2,0))</f>
        <v>0</v>
      </c>
      <c r="BH83" s="35" t="str">
        <f>IF(VLOOKUP($H83,'How the score is generated (H)'!$B$4:$H$73,4,0)="ü",$Q83,0)</f>
        <v>NA</v>
      </c>
      <c r="BI83" s="36" t="str">
        <f>IF(VLOOKUP($H83,'How the score is generated (H)'!$B$4:$H$73,4,0)="ü",$S83,0)</f>
        <v>NA</v>
      </c>
      <c r="BJ83" s="145">
        <f>IF(OR($M83=0,$N83=2),0,IF(VLOOKUP($H83,'How the score is generated (H)'!$B$4:$H$73,4,0)="ü",2,0))</f>
        <v>0</v>
      </c>
      <c r="BK83" s="35" t="str">
        <f>IF(VLOOKUP($H83,'How the score is generated (H)'!$B$4:$H$73,5,0)="ü",$Q83,0)</f>
        <v>NA</v>
      </c>
      <c r="BL83" s="36" t="str">
        <f>IF(VLOOKUP($H83,'How the score is generated (H)'!$B$4:$H$73,5,0)="ü",$S83,0)</f>
        <v>NA</v>
      </c>
      <c r="BM83" s="145">
        <f>IF(OR($M83=0,$N83=2),0,IF(VLOOKUP($H83,'How the score is generated (H)'!$B$4:$H$73,5,0)="ü",2,0))</f>
        <v>0</v>
      </c>
      <c r="BN83" s="35" t="str">
        <f>IF(VLOOKUP($H83,'How the score is generated (H)'!$B$4:$H$73,6,0)="ü",$Q83,0)</f>
        <v>NA</v>
      </c>
      <c r="BO83" s="36" t="str">
        <f>IF(VLOOKUP($H83,'How the score is generated (H)'!$B$4:$H$73,6,0)="ü",$S83,0)</f>
        <v>NA</v>
      </c>
      <c r="BP83" s="145">
        <f>IF(OR($M83=0,$N83=2),0,IF(VLOOKUP($H83,'How the score is generated (H)'!$B$4:$H$73,6,0)="ü",2,0))</f>
        <v>0</v>
      </c>
      <c r="BQ83" s="35">
        <f>IF(VLOOKUP($H83,'How the score is generated (H)'!$B$4:$H$73,7,0)="ü",$Q83,0)</f>
        <v>0</v>
      </c>
      <c r="BR83" s="36">
        <f>IF(VLOOKUP($H83,'How the score is generated (H)'!$B$4:$H$73,7,0)="ü",$S83,0)</f>
        <v>0</v>
      </c>
      <c r="BS83" s="145">
        <f>IF(OR($M83=0,$N83=2),0,IF(VLOOKUP($H83,'How the score is generated (H)'!$B$4:$H$73,7,0)="ü",2,0))</f>
        <v>0</v>
      </c>
      <c r="BT83" s="23"/>
      <c r="BU83" s="35">
        <f>IF(VLOOKUP($H83,'How the score is generated (P)'!$B$4:$H$73,2,0)="ü",$Q83,0)</f>
        <v>0</v>
      </c>
      <c r="BV83" s="36">
        <f>IF(VLOOKUP($H83,'How the score is generated (P)'!$B$4:$H$73,2,0)="ü",$S83,0)</f>
        <v>0</v>
      </c>
      <c r="BW83" s="145">
        <f>IF(OR($M83=0,$N83=2),0,IF(VLOOKUP($H83,'How the score is generated (P)'!$B$4:$I$73,2,0)="ü",2,0))</f>
        <v>0</v>
      </c>
      <c r="BX83" s="35" t="str">
        <f>IF(VLOOKUP($H83,'How the score is generated (P)'!$B$4:$H$73,3,0)="ü",$Q83,0)</f>
        <v>NA</v>
      </c>
      <c r="BY83" s="36" t="str">
        <f>IF(VLOOKUP($H83,'How the score is generated (P)'!$B$4:$H$73,3,0)="ü",$S83,0)</f>
        <v>NA</v>
      </c>
      <c r="BZ83" s="145">
        <f>IF(OR($M83=0,$N83=2),0,IF(VLOOKUP($H83,'How the score is generated (P)'!$B$4:$I$73,3,0)="ü",2,0))</f>
        <v>0</v>
      </c>
      <c r="CA83" s="35">
        <f>IF(VLOOKUP($H83,'How the score is generated (P)'!$B$4:$H$73,4,0)="ü",$Q83,0)</f>
        <v>0</v>
      </c>
      <c r="CB83" s="36">
        <f>IF(VLOOKUP($H83,'How the score is generated (P)'!$B$4:$H$73,4,0)="ü",$S83,0)</f>
        <v>0</v>
      </c>
      <c r="CC83" s="145">
        <f>IF(OR($M83=0,$N83=2),0,IF(VLOOKUP($H83,'How the score is generated (P)'!$B$4:$I$73,4,0)="ü",2,0))</f>
        <v>0</v>
      </c>
      <c r="CD83" s="35" t="str">
        <f>IF(VLOOKUP($H83,'How the score is generated (P)'!$B$4:$H$73,5,0)="ü",$Q83,0)</f>
        <v>NA</v>
      </c>
      <c r="CE83" s="36" t="str">
        <f>IF(VLOOKUP($H83,'How the score is generated (P)'!$B$4:$H$73,5,0)="ü",$S83,0)</f>
        <v>NA</v>
      </c>
      <c r="CF83" s="145">
        <f>IF(OR($M83=0,$N83=2),0,IF(VLOOKUP($H83,'How the score is generated (P)'!$B$4:$I$73,5,0)="ü",2,0))</f>
        <v>0</v>
      </c>
      <c r="CG83" s="35" t="str">
        <f>IF(VLOOKUP($H83,'How the score is generated (P)'!$B$4:$H$73,6,0)="ü",$Q83,0)</f>
        <v>NA</v>
      </c>
      <c r="CH83" s="36" t="str">
        <f>IF(VLOOKUP($H83,'How the score is generated (P)'!$B$4:$H$73,6,0)="ü",$S83,0)</f>
        <v>NA</v>
      </c>
      <c r="CI83" s="145">
        <f>IF(OR($M83=0,$N83=2),0,IF(VLOOKUP($H83,'How the score is generated (P)'!$B$4:$I$73,6,0)="ü",2,0))</f>
        <v>0</v>
      </c>
      <c r="CJ83" s="35" t="str">
        <f>IF(VLOOKUP($H83,'How the score is generated (P)'!$B$4:$H$73,7,0)="ü",$Q83,0)</f>
        <v>NA</v>
      </c>
      <c r="CK83" s="36" t="str">
        <f>IF(VLOOKUP($H83,'How the score is generated (P)'!$B$4:$H$73,7,0)="ü",$S83,0)</f>
        <v>NA</v>
      </c>
      <c r="CL83" s="145">
        <f>IF(OR($M83=0,$N83=2),0,IF(VLOOKUP($H83,'How the score is generated (P)'!$B$4:$I$73,7,0)="ü",2,0))</f>
        <v>0</v>
      </c>
      <c r="CM83" s="35">
        <f>IF(VLOOKUP($H83,'How the score is generated (P)'!$B$4:$I$73,8,0)="ü",$Q83,0)</f>
        <v>0</v>
      </c>
      <c r="CN83" s="36">
        <f>IF(VLOOKUP($H83,'How the score is generated (P)'!$B$4:$I$73,8,0)="ü",$S83,0)</f>
        <v>0</v>
      </c>
      <c r="CO83" s="145">
        <f>IF(OR($M83=0,$N83=2),0,IF(VLOOKUP($H83,'How the score is generated (P)'!$B$4:$I$73,8,0)="ü",2,0))</f>
        <v>0</v>
      </c>
    </row>
    <row r="84" spans="1:94" ht="72" customHeight="1" thickBot="1" x14ac:dyDescent="0.4">
      <c r="A84" s="23"/>
      <c r="B84" s="31"/>
      <c r="C84" s="66" t="str">
        <f>Validation!$S$8</f>
        <v xml:space="preserve">Group 7. Off-Street </v>
      </c>
      <c r="D84" s="164">
        <f>D83+1</f>
        <v>56</v>
      </c>
      <c r="E84" s="44" t="s">
        <v>39</v>
      </c>
      <c r="F84" s="168" t="s">
        <v>20</v>
      </c>
      <c r="G84" s="39" t="s">
        <v>1213</v>
      </c>
      <c r="H84" s="41" t="s">
        <v>1216</v>
      </c>
      <c r="I84" s="40" t="s">
        <v>994</v>
      </c>
      <c r="J84" s="409" t="s">
        <v>987</v>
      </c>
      <c r="K84" s="411" t="s">
        <v>896</v>
      </c>
      <c r="L84" s="410" t="s">
        <v>1092</v>
      </c>
      <c r="M84" s="129">
        <f>IF(Project!$B$27="On-Street",0,1)</f>
        <v>0</v>
      </c>
      <c r="N84" s="425">
        <f>IF(AND(O84="N/A",P84="N/A"),2,0)</f>
        <v>0</v>
      </c>
      <c r="O84" s="144"/>
      <c r="P84" s="144"/>
      <c r="Q84" s="441" t="str">
        <f>IF(OR($M84=0,$O84="N/A"),"NA",VLOOKUP($O84,Validation!$D$2:$E$7,2,0))</f>
        <v>NA</v>
      </c>
      <c r="R84" s="129">
        <f>IF(OR($M84=0,$O84="N/A"),0,2)</f>
        <v>0</v>
      </c>
      <c r="S84" s="441" t="str">
        <f>IF(OR($M84=0,$P84="N/A"),"NA",VLOOKUP($P84,Validation!$D$2:$E$7,2,0))</f>
        <v>NA</v>
      </c>
      <c r="T84" s="34">
        <f>IF(OR($M84=0,$P84="N/A"),0,2)</f>
        <v>0</v>
      </c>
      <c r="U84" s="35">
        <f>IF(VLOOKUP($H84,'How the score is generated'!$B$4:$I$73,2,0)="ü",$Q84,0)</f>
        <v>0</v>
      </c>
      <c r="V84" s="36">
        <f>IF(VLOOKUP($H84,'How the score is generated'!$B$4:$I$73,2,0)="ü",$S84,0)</f>
        <v>0</v>
      </c>
      <c r="W84" s="145">
        <f>IF(OR($M84=0,$N84=2),0,IF(VLOOKUP($H84,'How the score is generated'!$B$4:$I$73,2,0)="ü",2,0))</f>
        <v>0</v>
      </c>
      <c r="X84" s="35" t="str">
        <f>IF(VLOOKUP($H84,'How the score is generated'!$B$4:$I$73,3,0)="ü",$Q84,0)</f>
        <v>NA</v>
      </c>
      <c r="Y84" s="36" t="str">
        <f>IF(VLOOKUP($H84,'How the score is generated'!$B$4:$I$73,3,0)="ü",$S84,0)</f>
        <v>NA</v>
      </c>
      <c r="Z84" s="145">
        <f>IF(OR($M84=0,$N84=2),0,IF(VLOOKUP($H84,'How the score is generated'!$B$4:$I$73,3,0)="ü",2,0))</f>
        <v>0</v>
      </c>
      <c r="AA84" s="35" t="str">
        <f>IF(VLOOKUP($H84,'How the score is generated'!$B$4:$I$73,4,0)="ü",$Q84,0)</f>
        <v>NA</v>
      </c>
      <c r="AB84" s="36" t="str">
        <f>IF(VLOOKUP($H84,'How the score is generated'!$B$4:$I$73,4,0)="ü",$S84,0)</f>
        <v>NA</v>
      </c>
      <c r="AC84" s="145">
        <f>IF(OR($M84=0,$N84=2),0,IF(VLOOKUP($H84,'How the score is generated'!$B$4:$I$73,4,0)="ü",2,0))</f>
        <v>0</v>
      </c>
      <c r="AD84" s="35">
        <f>IF(VLOOKUP($H84,'How the score is generated'!$B$4:$I$73,5,0)="ü",$Q84,0)</f>
        <v>0</v>
      </c>
      <c r="AE84" s="36">
        <f>IF(VLOOKUP($H84,'How the score is generated'!$B$4:$I$73,5,0)="ü",$S84,0)</f>
        <v>0</v>
      </c>
      <c r="AF84" s="145">
        <f>IF(OR($M84=0,$N84=2),0,IF(VLOOKUP($H84,'How the score is generated'!$B$4:$I$73,5,0)="ü",2,0))</f>
        <v>0</v>
      </c>
      <c r="AG84" s="35">
        <f>IF(VLOOKUP($H84,'How the score is generated'!$B$4:$I$73,6,0)="ü",$Q84,0)</f>
        <v>0</v>
      </c>
      <c r="AH84" s="36">
        <f>IF(VLOOKUP($H84,'How the score is generated'!$B$4:$I$73,6,0)="ü",$S84,0)</f>
        <v>0</v>
      </c>
      <c r="AI84" s="145">
        <f>IF(OR($M84=0,$N84=2),0,IF(VLOOKUP($H84,'How the score is generated'!$B$4:$I$73,6,0)="ü",2,0))</f>
        <v>0</v>
      </c>
      <c r="AJ84" s="35">
        <f>IF(VLOOKUP($H84,'How the score is generated'!$B$4:$I$73,7,0)="ü",$Q84,0)</f>
        <v>0</v>
      </c>
      <c r="AK84" s="36">
        <f>IF(VLOOKUP($H84,'How the score is generated'!$B$4:$I$73,7,0)="ü",$S84,0)</f>
        <v>0</v>
      </c>
      <c r="AL84" s="145">
        <f>IF(OR($M84=0,$N84=2),0,IF(VLOOKUP($H84,'How the score is generated'!$B$4:$I$73,7,0)="ü",2,0))</f>
        <v>0</v>
      </c>
      <c r="AM84" s="35">
        <f>IF(VLOOKUP($H84,'How the score is generated'!$B$4:$I$73,8,0)="ü",$Q84,0)</f>
        <v>0</v>
      </c>
      <c r="AN84" s="36">
        <f>IF(VLOOKUP($H84,'How the score is generated'!$B$4:$I$73,8,0)="ü",$S84,0)</f>
        <v>0</v>
      </c>
      <c r="AO84" s="145">
        <f>IF(OR($M84=0,$N84=2),0,IF(VLOOKUP($H84,'How the score is generated'!$B$4:$I$73,8,0)="ü",2,0))</f>
        <v>0</v>
      </c>
      <c r="AP84" s="23"/>
      <c r="AQ84" s="404" t="s">
        <v>1215</v>
      </c>
      <c r="AR84" s="23"/>
      <c r="AS84" s="146"/>
      <c r="AW84" s="34"/>
      <c r="AX84" s="34" t="str">
        <f>IF(AW84="Amber",IF(S84=0,"Residual Amber",""),"")</f>
        <v/>
      </c>
      <c r="AY84" s="34" t="str">
        <f t="shared" si="37"/>
        <v/>
      </c>
      <c r="AZ84" s="34" t="str">
        <f t="shared" si="38"/>
        <v/>
      </c>
      <c r="BA84" s="34" t="str">
        <f t="shared" si="39"/>
        <v>56. Degree to which access controls are universally accessible</v>
      </c>
      <c r="BB84" s="35" t="str">
        <f>IF(VLOOKUP($H84,'How the score is generated (H)'!$B$4:$H$73,2,0)="ü",$Q84,0)</f>
        <v>NA</v>
      </c>
      <c r="BC84" s="36" t="str">
        <f>IF(VLOOKUP($H84,'How the score is generated (H)'!$B$4:$H$73,2,0)="ü",$S84,0)</f>
        <v>NA</v>
      </c>
      <c r="BD84" s="145">
        <f>IF(OR($M84=0,$N84=2),0,IF(VLOOKUP($H84,'How the score is generated (H)'!$B$4:$H$73,2,0)="ü",2,0))</f>
        <v>0</v>
      </c>
      <c r="BE84" s="35" t="str">
        <f>IF(VLOOKUP($H84,'How the score is generated (H)'!$B$4:$H$73,3,0)="ü",$Q84,0)</f>
        <v>NA</v>
      </c>
      <c r="BF84" s="36" t="str">
        <f>IF(VLOOKUP($H84,'How the score is generated (H)'!$B$4:$H$73,3,0)="ü",$S84,0)</f>
        <v>NA</v>
      </c>
      <c r="BG84" s="145">
        <f>IF(OR($M84=0,$N84=2),0,IF(VLOOKUP($H84,'How the score is generated (H)'!$B$4:$H$73,3,0)="ü",2,0))</f>
        <v>0</v>
      </c>
      <c r="BH84" s="35" t="str">
        <f>IF(VLOOKUP($H84,'How the score is generated (H)'!$B$4:$H$73,4,0)="ü",$Q84,0)</f>
        <v>NA</v>
      </c>
      <c r="BI84" s="36" t="str">
        <f>IF(VLOOKUP($H84,'How the score is generated (H)'!$B$4:$H$73,4,0)="ü",$S84,0)</f>
        <v>NA</v>
      </c>
      <c r="BJ84" s="145">
        <f>IF(OR($M84=0,$N84=2),0,IF(VLOOKUP($H84,'How the score is generated (H)'!$B$4:$H$73,4,0)="ü",2,0))</f>
        <v>0</v>
      </c>
      <c r="BK84" s="35" t="str">
        <f>IF(VLOOKUP($H84,'How the score is generated (H)'!$B$4:$H$73,5,0)="ü",$Q84,0)</f>
        <v>NA</v>
      </c>
      <c r="BL84" s="36" t="str">
        <f>IF(VLOOKUP($H84,'How the score is generated (H)'!$B$4:$H$73,5,0)="ü",$S84,0)</f>
        <v>NA</v>
      </c>
      <c r="BM84" s="145">
        <f>IF(OR($M84=0,$N84=2),0,IF(VLOOKUP($H84,'How the score is generated (H)'!$B$4:$H$73,5,0)="ü",2,0))</f>
        <v>0</v>
      </c>
      <c r="BN84" s="35" t="str">
        <f>IF(VLOOKUP($H84,'How the score is generated (H)'!$B$4:$H$73,6,0)="ü",$Q84,0)</f>
        <v>NA</v>
      </c>
      <c r="BO84" s="36" t="str">
        <f>IF(VLOOKUP($H84,'How the score is generated (H)'!$B$4:$H$73,6,0)="ü",$S84,0)</f>
        <v>NA</v>
      </c>
      <c r="BP84" s="145">
        <f>IF(OR($M84=0,$N84=2),0,IF(VLOOKUP($H84,'How the score is generated (H)'!$B$4:$H$73,6,0)="ü",2,0))</f>
        <v>0</v>
      </c>
      <c r="BQ84" s="35">
        <f>IF(VLOOKUP($H84,'How the score is generated (H)'!$B$4:$H$73,7,0)="ü",$Q84,0)</f>
        <v>0</v>
      </c>
      <c r="BR84" s="36">
        <f>IF(VLOOKUP($H84,'How the score is generated (H)'!$B$4:$H$73,7,0)="ü",$S84,0)</f>
        <v>0</v>
      </c>
      <c r="BS84" s="145">
        <f>IF(OR($M84=0,$N84=2),0,IF(VLOOKUP($H84,'How the score is generated (H)'!$B$4:$H$73,7,0)="ü",2,0))</f>
        <v>0</v>
      </c>
      <c r="BT84" s="23"/>
      <c r="BU84" s="35">
        <f>IF(VLOOKUP($H84,'How the score is generated (P)'!$B$4:$H$73,2,0)="ü",$Q84,0)</f>
        <v>0</v>
      </c>
      <c r="BV84" s="36">
        <f>IF(VLOOKUP($H84,'How the score is generated (P)'!$B$4:$H$73,2,0)="ü",$S84,0)</f>
        <v>0</v>
      </c>
      <c r="BW84" s="145">
        <f>IF(OR($M84=0,$N84=2),0,IF(VLOOKUP($H84,'How the score is generated (P)'!$B$4:$I$73,2,0)="ü",2,0))</f>
        <v>0</v>
      </c>
      <c r="BX84" s="35" t="str">
        <f>IF(VLOOKUP($H84,'How the score is generated (P)'!$B$4:$H$73,3,0)="ü",$Q84,0)</f>
        <v>NA</v>
      </c>
      <c r="BY84" s="36" t="str">
        <f>IF(VLOOKUP($H84,'How the score is generated (P)'!$B$4:$H$73,3,0)="ü",$S84,0)</f>
        <v>NA</v>
      </c>
      <c r="BZ84" s="145">
        <f>IF(OR($M84=0,$N84=2),0,IF(VLOOKUP($H84,'How the score is generated (P)'!$B$4:$I$73,3,0)="ü",2,0))</f>
        <v>0</v>
      </c>
      <c r="CA84" s="35">
        <f>IF(VLOOKUP($H84,'How the score is generated (P)'!$B$4:$H$73,4,0)="ü",$Q84,0)</f>
        <v>0</v>
      </c>
      <c r="CB84" s="36">
        <f>IF(VLOOKUP($H84,'How the score is generated (P)'!$B$4:$H$73,4,0)="ü",$S84,0)</f>
        <v>0</v>
      </c>
      <c r="CC84" s="145">
        <f>IF(OR($M84=0,$N84=2),0,IF(VLOOKUP($H84,'How the score is generated (P)'!$B$4:$I$73,4,0)="ü",2,0))</f>
        <v>0</v>
      </c>
      <c r="CD84" s="35" t="str">
        <f>IF(VLOOKUP($H84,'How the score is generated (P)'!$B$4:$H$73,5,0)="ü",$Q84,0)</f>
        <v>NA</v>
      </c>
      <c r="CE84" s="36" t="str">
        <f>IF(VLOOKUP($H84,'How the score is generated (P)'!$B$4:$H$73,5,0)="ü",$S84,0)</f>
        <v>NA</v>
      </c>
      <c r="CF84" s="145">
        <f>IF(OR($M84=0,$N84=2),0,IF(VLOOKUP($H84,'How the score is generated (P)'!$B$4:$I$73,5,0)="ü",2,0))</f>
        <v>0</v>
      </c>
      <c r="CG84" s="35" t="str">
        <f>IF(VLOOKUP($H84,'How the score is generated (P)'!$B$4:$H$73,6,0)="ü",$Q84,0)</f>
        <v>NA</v>
      </c>
      <c r="CH84" s="36" t="str">
        <f>IF(VLOOKUP($H84,'How the score is generated (P)'!$B$4:$H$73,6,0)="ü",$S84,0)</f>
        <v>NA</v>
      </c>
      <c r="CI84" s="145">
        <f>IF(OR($M84=0,$N84=2),0,IF(VLOOKUP($H84,'How the score is generated (P)'!$B$4:$I$73,6,0)="ü",2,0))</f>
        <v>0</v>
      </c>
      <c r="CJ84" s="35" t="str">
        <f>IF(VLOOKUP($H84,'How the score is generated (P)'!$B$4:$H$73,7,0)="ü",$Q84,0)</f>
        <v>NA</v>
      </c>
      <c r="CK84" s="36" t="str">
        <f>IF(VLOOKUP($H84,'How the score is generated (P)'!$B$4:$H$73,7,0)="ü",$S84,0)</f>
        <v>NA</v>
      </c>
      <c r="CL84" s="145">
        <f>IF(OR($M84=0,$N84=2),0,IF(VLOOKUP($H84,'How the score is generated (P)'!$B$4:$I$73,7,0)="ü",2,0))</f>
        <v>0</v>
      </c>
      <c r="CM84" s="35">
        <f>IF(VLOOKUP($H84,'How the score is generated (P)'!$B$4:$I$73,8,0)="ü",$Q84,0)</f>
        <v>0</v>
      </c>
      <c r="CN84" s="36">
        <f>IF(VLOOKUP($H84,'How the score is generated (P)'!$B$4:$I$73,8,0)="ü",$S84,0)</f>
        <v>0</v>
      </c>
      <c r="CO84" s="145">
        <f>IF(OR($M84=0,$N84=2),0,IF(VLOOKUP($H84,'How the score is generated (P)'!$B$4:$I$73,8,0)="ü",2,0))</f>
        <v>0</v>
      </c>
      <c r="CP84" s="294" t="s">
        <v>1093</v>
      </c>
    </row>
    <row r="85" spans="1:94" ht="45" customHeight="1" thickBot="1" x14ac:dyDescent="0.4">
      <c r="A85" s="23"/>
      <c r="B85" s="31"/>
      <c r="C85" s="66" t="str">
        <f>Validation!$S$8</f>
        <v xml:space="preserve">Group 7. Off-Street </v>
      </c>
      <c r="D85" s="164">
        <f>D84+1</f>
        <v>57</v>
      </c>
      <c r="E85" s="44" t="s">
        <v>39</v>
      </c>
      <c r="F85" s="168" t="s">
        <v>20</v>
      </c>
      <c r="G85" s="39" t="s">
        <v>274</v>
      </c>
      <c r="H85" s="41" t="s">
        <v>1217</v>
      </c>
      <c r="I85" s="40" t="s">
        <v>993</v>
      </c>
      <c r="J85" s="41" t="s">
        <v>988</v>
      </c>
      <c r="K85" s="215" t="s">
        <v>278</v>
      </c>
      <c r="L85" s="42" t="s">
        <v>989</v>
      </c>
      <c r="M85" s="129">
        <f>IF(Project!$B$27="On-Street",0,1)</f>
        <v>0</v>
      </c>
      <c r="N85" s="425">
        <f>IF(AND(O85="N/A",P85="N/A"),2,0)</f>
        <v>0</v>
      </c>
      <c r="O85" s="144"/>
      <c r="P85" s="144"/>
      <c r="Q85" s="441" t="str">
        <f>IF(OR($M85=0,$O85="N/A"),"NA",VLOOKUP($O85,Validation!$D$2:$E$7,2,0))</f>
        <v>NA</v>
      </c>
      <c r="R85" s="129">
        <f>IF(OR($M85=0,$O85="N/A"),0,2)</f>
        <v>0</v>
      </c>
      <c r="S85" s="441" t="str">
        <f>IF(OR($M85=0,$P85="N/A"),"NA",VLOOKUP($P85,Validation!$D$2:$E$7,2,0))</f>
        <v>NA</v>
      </c>
      <c r="T85" s="34">
        <f>IF(OR($M85=0,$P85="N/A"),0,2)</f>
        <v>0</v>
      </c>
      <c r="U85" s="35">
        <f>IF(VLOOKUP($H85,'How the score is generated'!$B$4:$I$73,2,0)="ü",$Q85,0)</f>
        <v>0</v>
      </c>
      <c r="V85" s="36">
        <f>IF(VLOOKUP($H85,'How the score is generated'!$B$4:$I$73,2,0)="ü",$S85,0)</f>
        <v>0</v>
      </c>
      <c r="W85" s="145">
        <f>IF(OR($M85=0,$N85=2),0,IF(VLOOKUP($H85,'How the score is generated'!$B$4:$I$73,2,0)="ü",2,0))</f>
        <v>0</v>
      </c>
      <c r="X85" s="35" t="str">
        <f>IF(VLOOKUP($H85,'How the score is generated'!$B$4:$I$73,3,0)="ü",$Q85,0)</f>
        <v>NA</v>
      </c>
      <c r="Y85" s="36" t="str">
        <f>IF(VLOOKUP($H85,'How the score is generated'!$B$4:$I$73,3,0)="ü",$S85,0)</f>
        <v>NA</v>
      </c>
      <c r="Z85" s="145">
        <f>IF(OR($M85=0,$N85=2),0,IF(VLOOKUP($H85,'How the score is generated'!$B$4:$I$73,3,0)="ü",2,0))</f>
        <v>0</v>
      </c>
      <c r="AA85" s="35" t="str">
        <f>IF(VLOOKUP($H85,'How the score is generated'!$B$4:$I$73,4,0)="ü",$Q85,0)</f>
        <v>NA</v>
      </c>
      <c r="AB85" s="36" t="str">
        <f>IF(VLOOKUP($H85,'How the score is generated'!$B$4:$I$73,4,0)="ü",$S85,0)</f>
        <v>NA</v>
      </c>
      <c r="AC85" s="145">
        <f>IF(OR($M85=0,$N85=2),0,IF(VLOOKUP($H85,'How the score is generated'!$B$4:$I$73,4,0)="ü",2,0))</f>
        <v>0</v>
      </c>
      <c r="AD85" s="35">
        <f>IF(VLOOKUP($H85,'How the score is generated'!$B$4:$I$73,5,0)="ü",$Q85,0)</f>
        <v>0</v>
      </c>
      <c r="AE85" s="36">
        <f>IF(VLOOKUP($H85,'How the score is generated'!$B$4:$I$73,5,0)="ü",$S85,0)</f>
        <v>0</v>
      </c>
      <c r="AF85" s="145">
        <f>IF(OR($M85=0,$N85=2),0,IF(VLOOKUP($H85,'How the score is generated'!$B$4:$I$73,5,0)="ü",2,0))</f>
        <v>0</v>
      </c>
      <c r="AG85" s="35">
        <f>IF(VLOOKUP($H85,'How the score is generated'!$B$4:$I$73,6,0)="ü",$Q85,0)</f>
        <v>0</v>
      </c>
      <c r="AH85" s="36">
        <f>IF(VLOOKUP($H85,'How the score is generated'!$B$4:$I$73,6,0)="ü",$S85,0)</f>
        <v>0</v>
      </c>
      <c r="AI85" s="145">
        <f>IF(OR($M85=0,$N85=2),0,IF(VLOOKUP($H85,'How the score is generated'!$B$4:$I$73,6,0)="ü",2,0))</f>
        <v>0</v>
      </c>
      <c r="AJ85" s="35">
        <f>IF(VLOOKUP($H85,'How the score is generated'!$B$4:$I$73,7,0)="ü",$Q85,0)</f>
        <v>0</v>
      </c>
      <c r="AK85" s="36">
        <f>IF(VLOOKUP($H85,'How the score is generated'!$B$4:$I$73,7,0)="ü",$S85,0)</f>
        <v>0</v>
      </c>
      <c r="AL85" s="145">
        <f>IF(OR($M85=0,$N85=2),0,IF(VLOOKUP($H85,'How the score is generated'!$B$4:$I$73,7,0)="ü",2,0))</f>
        <v>0</v>
      </c>
      <c r="AM85" s="35">
        <f>IF(VLOOKUP($H85,'How the score is generated'!$B$4:$I$73,8,0)="ü",$Q85,0)</f>
        <v>0</v>
      </c>
      <c r="AN85" s="36">
        <f>IF(VLOOKUP($H85,'How the score is generated'!$B$4:$I$73,8,0)="ü",$S85,0)</f>
        <v>0</v>
      </c>
      <c r="AO85" s="145">
        <f>IF(OR($M85=0,$N85=2),0,IF(VLOOKUP($H85,'How the score is generated'!$B$4:$I$73,8,0)="ü",2,0))</f>
        <v>0</v>
      </c>
      <c r="AP85" s="23"/>
      <c r="AQ85" s="404"/>
      <c r="AR85" s="23"/>
      <c r="AS85" s="146"/>
      <c r="AW85" s="34"/>
      <c r="AX85" s="34" t="str">
        <f>IF(AW85="Amber",IF(S85=0,"Residual Amber",""),"")</f>
        <v/>
      </c>
      <c r="AY85" s="34" t="str">
        <f t="shared" si="37"/>
        <v/>
      </c>
      <c r="AZ85" s="34" t="str">
        <f t="shared" si="38"/>
        <v/>
      </c>
      <c r="BA85" s="34" t="str">
        <f t="shared" si="39"/>
        <v>57. Surface/construction type</v>
      </c>
      <c r="BB85" s="35" t="str">
        <f>IF(VLOOKUP($H85,'How the score is generated (H)'!$B$4:$H$73,2,0)="ü",$Q85,0)</f>
        <v>NA</v>
      </c>
      <c r="BC85" s="36" t="str">
        <f>IF(VLOOKUP($H85,'How the score is generated (H)'!$B$4:$H$73,2,0)="ü",$S85,0)</f>
        <v>NA</v>
      </c>
      <c r="BD85" s="145">
        <f>IF(OR($M85=0,$N85=2),0,IF(VLOOKUP($H85,'How the score is generated (H)'!$B$4:$H$73,2,0)="ü",2,0))</f>
        <v>0</v>
      </c>
      <c r="BE85" s="35" t="str">
        <f>IF(VLOOKUP($H85,'How the score is generated (H)'!$B$4:$H$73,3,0)="ü",$Q85,0)</f>
        <v>NA</v>
      </c>
      <c r="BF85" s="36" t="str">
        <f>IF(VLOOKUP($H85,'How the score is generated (H)'!$B$4:$H$73,3,0)="ü",$S85,0)</f>
        <v>NA</v>
      </c>
      <c r="BG85" s="145">
        <f>IF(OR($M85=0,$N85=2),0,IF(VLOOKUP($H85,'How the score is generated (H)'!$B$4:$H$73,3,0)="ü",2,0))</f>
        <v>0</v>
      </c>
      <c r="BH85" s="35" t="str">
        <f>IF(VLOOKUP($H85,'How the score is generated (H)'!$B$4:$H$73,4,0)="ü",$Q85,0)</f>
        <v>NA</v>
      </c>
      <c r="BI85" s="36" t="str">
        <f>IF(VLOOKUP($H85,'How the score is generated (H)'!$B$4:$H$73,4,0)="ü",$S85,0)</f>
        <v>NA</v>
      </c>
      <c r="BJ85" s="145">
        <f>IF(OR($M85=0,$N85=2),0,IF(VLOOKUP($H85,'How the score is generated (H)'!$B$4:$H$73,4,0)="ü",2,0))</f>
        <v>0</v>
      </c>
      <c r="BK85" s="35">
        <f>IF(VLOOKUP($H85,'How the score is generated (H)'!$B$4:$H$73,5,0)="ü",$Q85,0)</f>
        <v>0</v>
      </c>
      <c r="BL85" s="36">
        <f>IF(VLOOKUP($H85,'How the score is generated (H)'!$B$4:$H$73,5,0)="ü",$S85,0)</f>
        <v>0</v>
      </c>
      <c r="BM85" s="145">
        <f>IF(OR($M85=0,$N85=2),0,IF(VLOOKUP($H85,'How the score is generated (H)'!$B$4:$H$73,5,0)="ü",2,0))</f>
        <v>0</v>
      </c>
      <c r="BN85" s="35">
        <f>IF(VLOOKUP($H85,'How the score is generated (H)'!$B$4:$H$73,6,0)="ü",$Q85,0)</f>
        <v>0</v>
      </c>
      <c r="BO85" s="36">
        <f>IF(VLOOKUP($H85,'How the score is generated (H)'!$B$4:$H$73,6,0)="ü",$S85,0)</f>
        <v>0</v>
      </c>
      <c r="BP85" s="145">
        <f>IF(OR($M85=0,$N85=2),0,IF(VLOOKUP($H85,'How the score is generated (H)'!$B$4:$H$73,6,0)="ü",2,0))</f>
        <v>0</v>
      </c>
      <c r="BQ85" s="35">
        <f>IF(VLOOKUP($H85,'How the score is generated (H)'!$B$4:$H$73,7,0)="ü",$Q85,0)</f>
        <v>0</v>
      </c>
      <c r="BR85" s="36">
        <f>IF(VLOOKUP($H85,'How the score is generated (H)'!$B$4:$H$73,7,0)="ü",$S85,0)</f>
        <v>0</v>
      </c>
      <c r="BS85" s="145">
        <f>IF(OR($M85=0,$N85=2),0,IF(VLOOKUP($H85,'How the score is generated (H)'!$B$4:$H$73,7,0)="ü",2,0))</f>
        <v>0</v>
      </c>
      <c r="BT85" s="23"/>
      <c r="BU85" s="35">
        <f>IF(VLOOKUP($H85,'How the score is generated (P)'!$B$4:$H$73,2,0)="ü",$Q85,0)</f>
        <v>0</v>
      </c>
      <c r="BV85" s="36">
        <f>IF(VLOOKUP($H85,'How the score is generated (P)'!$B$4:$H$73,2,0)="ü",$S85,0)</f>
        <v>0</v>
      </c>
      <c r="BW85" s="145">
        <f>IF(OR($M85=0,$N85=2),0,IF(VLOOKUP($H85,'How the score is generated (P)'!$B$4:$I$73,2,0)="ü",2,0))</f>
        <v>0</v>
      </c>
      <c r="BX85" s="35">
        <f>IF(VLOOKUP($H85,'How the score is generated (P)'!$B$4:$H$73,3,0)="ü",$Q85,0)</f>
        <v>0</v>
      </c>
      <c r="BY85" s="36">
        <f>IF(VLOOKUP($H85,'How the score is generated (P)'!$B$4:$H$73,3,0)="ü",$S85,0)</f>
        <v>0</v>
      </c>
      <c r="BZ85" s="145">
        <f>IF(OR($M85=0,$N85=2),0,IF(VLOOKUP($H85,'How the score is generated (P)'!$B$4:$I$73,3,0)="ü",2,0))</f>
        <v>0</v>
      </c>
      <c r="CA85" s="35">
        <f>IF(VLOOKUP($H85,'How the score is generated (P)'!$B$4:$H$73,4,0)="ü",$Q85,0)</f>
        <v>0</v>
      </c>
      <c r="CB85" s="36">
        <f>IF(VLOOKUP($H85,'How the score is generated (P)'!$B$4:$H$73,4,0)="ü",$S85,0)</f>
        <v>0</v>
      </c>
      <c r="CC85" s="145">
        <f>IF(OR($M85=0,$N85=2),0,IF(VLOOKUP($H85,'How the score is generated (P)'!$B$4:$I$73,4,0)="ü",2,0))</f>
        <v>0</v>
      </c>
      <c r="CD85" s="35">
        <f>IF(VLOOKUP($H85,'How the score is generated (P)'!$B$4:$H$73,5,0)="ü",$Q85,0)</f>
        <v>0</v>
      </c>
      <c r="CE85" s="36">
        <f>IF(VLOOKUP($H85,'How the score is generated (P)'!$B$4:$H$73,5,0)="ü",$S85,0)</f>
        <v>0</v>
      </c>
      <c r="CF85" s="145">
        <f>IF(OR($M85=0,$N85=2),0,IF(VLOOKUP($H85,'How the score is generated (P)'!$B$4:$I$73,5,0)="ü",2,0))</f>
        <v>0</v>
      </c>
      <c r="CG85" s="35">
        <f>IF(VLOOKUP($H85,'How the score is generated (P)'!$B$4:$H$73,6,0)="ü",$Q85,0)</f>
        <v>0</v>
      </c>
      <c r="CH85" s="36">
        <f>IF(VLOOKUP($H85,'How the score is generated (P)'!$B$4:$H$73,6,0)="ü",$S85,0)</f>
        <v>0</v>
      </c>
      <c r="CI85" s="145">
        <f>IF(OR($M85=0,$N85=2),0,IF(VLOOKUP($H85,'How the score is generated (P)'!$B$4:$I$73,6,0)="ü",2,0))</f>
        <v>0</v>
      </c>
      <c r="CJ85" s="35">
        <f>IF(VLOOKUP($H85,'How the score is generated (P)'!$B$4:$H$73,7,0)="ü",$Q85,0)</f>
        <v>0</v>
      </c>
      <c r="CK85" s="36">
        <f>IF(VLOOKUP($H85,'How the score is generated (P)'!$B$4:$H$73,7,0)="ü",$S85,0)</f>
        <v>0</v>
      </c>
      <c r="CL85" s="145">
        <f>IF(OR($M85=0,$N85=2),0,IF(VLOOKUP($H85,'How the score is generated (P)'!$B$4:$I$73,7,0)="ü",2,0))</f>
        <v>0</v>
      </c>
      <c r="CM85" s="35">
        <f>IF(VLOOKUP($H85,'How the score is generated (P)'!$B$4:$I$73,8,0)="ü",$Q85,0)</f>
        <v>0</v>
      </c>
      <c r="CN85" s="36">
        <f>IF(VLOOKUP($H85,'How the score is generated (P)'!$B$4:$I$73,8,0)="ü",$S85,0)</f>
        <v>0</v>
      </c>
      <c r="CO85" s="145">
        <f>IF(OR($M85=0,$N85=2),0,IF(VLOOKUP($H85,'How the score is generated (P)'!$B$4:$I$73,8,0)="ü",2,0))</f>
        <v>0</v>
      </c>
    </row>
    <row r="86" spans="1:94" ht="54" customHeight="1" thickBot="1" x14ac:dyDescent="0.4">
      <c r="A86" s="23"/>
      <c r="B86" s="31"/>
      <c r="C86" s="66" t="str">
        <f>Validation!$S$8</f>
        <v xml:space="preserve">Group 7. Off-Street </v>
      </c>
      <c r="D86" s="164">
        <f>D85+1</f>
        <v>58</v>
      </c>
      <c r="E86" s="44" t="s">
        <v>39</v>
      </c>
      <c r="F86" s="168" t="s">
        <v>20</v>
      </c>
      <c r="G86" s="39" t="s">
        <v>167</v>
      </c>
      <c r="H86" s="41" t="s">
        <v>280</v>
      </c>
      <c r="I86" s="40" t="s">
        <v>992</v>
      </c>
      <c r="J86" s="41" t="s">
        <v>282</v>
      </c>
      <c r="K86" s="41" t="s">
        <v>283</v>
      </c>
      <c r="L86" s="42" t="s">
        <v>1105</v>
      </c>
      <c r="M86" s="129">
        <f>IF(Project!$B$27="On-Street",0,1)</f>
        <v>0</v>
      </c>
      <c r="N86" s="425">
        <f>IF(AND(O86="N/A",P86="N/A"),2,0)</f>
        <v>0</v>
      </c>
      <c r="O86" s="144"/>
      <c r="P86" s="144"/>
      <c r="Q86" s="441" t="str">
        <f>IF(OR($M86=0,$O86="N/A"),"NA",VLOOKUP($O86,Validation!$D$2:$E$7,2,0))</f>
        <v>NA</v>
      </c>
      <c r="R86" s="129">
        <f>IF(OR($M86=0,$O86="N/A"),0,2)</f>
        <v>0</v>
      </c>
      <c r="S86" s="441" t="str">
        <f>IF(OR($M86=0,$P86="N/A"),"NA",VLOOKUP($P86,Validation!$D$2:$E$7,2,0))</f>
        <v>NA</v>
      </c>
      <c r="T86" s="34">
        <f>IF(OR($M86=0,$P86="N/A"),0,2)</f>
        <v>0</v>
      </c>
      <c r="U86" s="35" t="str">
        <f>IF(VLOOKUP($H86,'How the score is generated'!$B$4:$I$73,2,0)="ü",$Q86,0)</f>
        <v>NA</v>
      </c>
      <c r="V86" s="36" t="str">
        <f>IF(VLOOKUP($H86,'How the score is generated'!$B$4:$I$73,2,0)="ü",$S86,0)</f>
        <v>NA</v>
      </c>
      <c r="W86" s="145">
        <f>IF(OR($M86=0,$N86=2),0,IF(VLOOKUP($H86,'How the score is generated'!$B$4:$I$73,2,0)="ü",2,0))</f>
        <v>0</v>
      </c>
      <c r="X86" s="35" t="str">
        <f>IF(VLOOKUP($H86,'How the score is generated'!$B$4:$I$73,3,0)="ü",$Q86,0)</f>
        <v>NA</v>
      </c>
      <c r="Y86" s="36" t="str">
        <f>IF(VLOOKUP($H86,'How the score is generated'!$B$4:$I$73,3,0)="ü",$S86,0)</f>
        <v>NA</v>
      </c>
      <c r="Z86" s="145">
        <f>IF(OR($M86=0,$N86=2),0,IF(VLOOKUP($H86,'How the score is generated'!$B$4:$I$73,3,0)="ü",2,0))</f>
        <v>0</v>
      </c>
      <c r="AA86" s="35" t="str">
        <f>IF(VLOOKUP($H86,'How the score is generated'!$B$4:$I$73,4,0)="ü",$Q86,0)</f>
        <v>NA</v>
      </c>
      <c r="AB86" s="36" t="str">
        <f>IF(VLOOKUP($H86,'How the score is generated'!$B$4:$I$73,4,0)="ü",$S86,0)</f>
        <v>NA</v>
      </c>
      <c r="AC86" s="145">
        <f>IF(OR($M86=0,$N86=2),0,IF(VLOOKUP($H86,'How the score is generated'!$B$4:$I$73,4,0)="ü",2,0))</f>
        <v>0</v>
      </c>
      <c r="AD86" s="35">
        <f>IF(VLOOKUP($H86,'How the score is generated'!$B$4:$I$73,5,0)="ü",$Q86,0)</f>
        <v>0</v>
      </c>
      <c r="AE86" s="36">
        <f>IF(VLOOKUP($H86,'How the score is generated'!$B$4:$I$73,5,0)="ü",$S86,0)</f>
        <v>0</v>
      </c>
      <c r="AF86" s="145">
        <f>IF(OR($M86=0,$N86=2),0,IF(VLOOKUP($H86,'How the score is generated'!$B$4:$I$73,5,0)="ü",2,0))</f>
        <v>0</v>
      </c>
      <c r="AG86" s="35">
        <f>IF(VLOOKUP($H86,'How the score is generated'!$B$4:$I$73,6,0)="ü",$Q86,0)</f>
        <v>0</v>
      </c>
      <c r="AH86" s="36">
        <f>IF(VLOOKUP($H86,'How the score is generated'!$B$4:$I$73,6,0)="ü",$S86,0)</f>
        <v>0</v>
      </c>
      <c r="AI86" s="145">
        <f>IF(OR($M86=0,$N86=2),0,IF(VLOOKUP($H86,'How the score is generated'!$B$4:$I$73,6,0)="ü",2,0))</f>
        <v>0</v>
      </c>
      <c r="AJ86" s="35">
        <f>IF(VLOOKUP($H86,'How the score is generated'!$B$4:$I$73,7,0)="ü",$Q86,0)</f>
        <v>0</v>
      </c>
      <c r="AK86" s="36">
        <f>IF(VLOOKUP($H86,'How the score is generated'!$B$4:$I$73,7,0)="ü",$S86,0)</f>
        <v>0</v>
      </c>
      <c r="AL86" s="145">
        <f>IF(OR($M86=0,$N86=2),0,IF(VLOOKUP($H86,'How the score is generated'!$B$4:$I$73,7,0)="ü",2,0))</f>
        <v>0</v>
      </c>
      <c r="AM86" s="35">
        <f>IF(VLOOKUP($H86,'How the score is generated'!$B$4:$I$73,8,0)="ü",$Q86,0)</f>
        <v>0</v>
      </c>
      <c r="AN86" s="36">
        <f>IF(VLOOKUP($H86,'How the score is generated'!$B$4:$I$73,8,0)="ü",$S86,0)</f>
        <v>0</v>
      </c>
      <c r="AO86" s="145">
        <f>IF(OR($M86=0,$N86=2),0,IF(VLOOKUP($H86,'How the score is generated'!$B$4:$I$73,8,0)="ü",2,0))</f>
        <v>0</v>
      </c>
      <c r="AP86" s="23"/>
      <c r="AQ86" s="404" t="s">
        <v>1182</v>
      </c>
      <c r="AR86" s="23"/>
      <c r="AS86" s="146"/>
      <c r="AW86" s="34"/>
      <c r="AX86" s="34" t="str">
        <f>IF(AW86="Amber",IF(S86=0,"Residual Amber",""),"")</f>
        <v/>
      </c>
      <c r="AY86" s="34" t="str">
        <f t="shared" si="37"/>
        <v/>
      </c>
      <c r="AZ86" s="34" t="str">
        <f t="shared" si="38"/>
        <v/>
      </c>
      <c r="BA86" s="34" t="str">
        <f t="shared" si="39"/>
        <v>58. Standard of lighting</v>
      </c>
      <c r="BB86" s="35" t="str">
        <f>IF(VLOOKUP($H86,'How the score is generated (H)'!$B$4:$H$73,2,0)="ü",$Q86,0)</f>
        <v>NA</v>
      </c>
      <c r="BC86" s="36" t="str">
        <f>IF(VLOOKUP($H86,'How the score is generated (H)'!$B$4:$H$73,2,0)="ü",$S86,0)</f>
        <v>NA</v>
      </c>
      <c r="BD86" s="145">
        <f>IF(OR($M86=0,$N86=2),0,IF(VLOOKUP($H86,'How the score is generated (H)'!$B$4:$H$73,2,0)="ü",2,0))</f>
        <v>0</v>
      </c>
      <c r="BE86" s="35" t="str">
        <f>IF(VLOOKUP($H86,'How the score is generated (H)'!$B$4:$H$73,3,0)="ü",$Q86,0)</f>
        <v>NA</v>
      </c>
      <c r="BF86" s="36" t="str">
        <f>IF(VLOOKUP($H86,'How the score is generated (H)'!$B$4:$H$73,3,0)="ü",$S86,0)</f>
        <v>NA</v>
      </c>
      <c r="BG86" s="145">
        <f>IF(OR($M86=0,$N86=2),0,IF(VLOOKUP($H86,'How the score is generated (H)'!$B$4:$H$73,3,0)="ü",2,0))</f>
        <v>0</v>
      </c>
      <c r="BH86" s="35" t="str">
        <f>IF(VLOOKUP($H86,'How the score is generated (H)'!$B$4:$H$73,4,0)="ü",$Q86,0)</f>
        <v>NA</v>
      </c>
      <c r="BI86" s="36" t="str">
        <f>IF(VLOOKUP($H86,'How the score is generated (H)'!$B$4:$H$73,4,0)="ü",$S86,0)</f>
        <v>NA</v>
      </c>
      <c r="BJ86" s="145">
        <f>IF(OR($M86=0,$N86=2),0,IF(VLOOKUP($H86,'How the score is generated (H)'!$B$4:$H$73,4,0)="ü",2,0))</f>
        <v>0</v>
      </c>
      <c r="BK86" s="35">
        <f>IF(VLOOKUP($H86,'How the score is generated (H)'!$B$4:$H$73,5,0)="ü",$Q86,0)</f>
        <v>0</v>
      </c>
      <c r="BL86" s="36">
        <f>IF(VLOOKUP($H86,'How the score is generated (H)'!$B$4:$H$73,5,0)="ü",$S86,0)</f>
        <v>0</v>
      </c>
      <c r="BM86" s="145">
        <f>IF(OR($M86=0,$N86=2),0,IF(VLOOKUP($H86,'How the score is generated (H)'!$B$4:$H$73,5,0)="ü",2,0))</f>
        <v>0</v>
      </c>
      <c r="BN86" s="35" t="str">
        <f>IF(VLOOKUP($H86,'How the score is generated (H)'!$B$4:$H$73,6,0)="ü",$Q86,0)</f>
        <v>NA</v>
      </c>
      <c r="BO86" s="36" t="str">
        <f>IF(VLOOKUP($H86,'How the score is generated (H)'!$B$4:$H$73,6,0)="ü",$S86,0)</f>
        <v>NA</v>
      </c>
      <c r="BP86" s="145">
        <f>IF(OR($M86=0,$N86=2),0,IF(VLOOKUP($H86,'How the score is generated (H)'!$B$4:$H$73,6,0)="ü",2,0))</f>
        <v>0</v>
      </c>
      <c r="BQ86" s="35">
        <f>IF(VLOOKUP($H86,'How the score is generated (H)'!$B$4:$H$73,7,0)="ü",$Q86,0)</f>
        <v>0</v>
      </c>
      <c r="BR86" s="36">
        <f>IF(VLOOKUP($H86,'How the score is generated (H)'!$B$4:$H$73,7,0)="ü",$S86,0)</f>
        <v>0</v>
      </c>
      <c r="BS86" s="145">
        <f>IF(OR($M86=0,$N86=2),0,IF(VLOOKUP($H86,'How the score is generated (H)'!$B$4:$H$73,7,0)="ü",2,0))</f>
        <v>0</v>
      </c>
      <c r="BT86" s="23"/>
      <c r="BU86" s="35" t="str">
        <f>IF(VLOOKUP($H86,'How the score is generated (P)'!$B$4:$H$73,2,0)="ü",$Q86,0)</f>
        <v>NA</v>
      </c>
      <c r="BV86" s="36" t="str">
        <f>IF(VLOOKUP($H86,'How the score is generated (P)'!$B$4:$H$73,2,0)="ü",$S86,0)</f>
        <v>NA</v>
      </c>
      <c r="BW86" s="145">
        <f>IF(OR($M86=0,$N86=2),0,IF(VLOOKUP($H86,'How the score is generated (P)'!$B$4:$I$73,2,0)="ü",2,0))</f>
        <v>0</v>
      </c>
      <c r="BX86" s="35" t="str">
        <f>IF(VLOOKUP($H86,'How the score is generated (P)'!$B$4:$H$73,3,0)="ü",$Q86,0)</f>
        <v>NA</v>
      </c>
      <c r="BY86" s="36" t="str">
        <f>IF(VLOOKUP($H86,'How the score is generated (P)'!$B$4:$H$73,3,0)="ü",$S86,0)</f>
        <v>NA</v>
      </c>
      <c r="BZ86" s="145">
        <f>IF(OR($M86=0,$N86=2),0,IF(VLOOKUP($H86,'How the score is generated (P)'!$B$4:$I$73,3,0)="ü",2,0))</f>
        <v>0</v>
      </c>
      <c r="CA86" s="35">
        <f>IF(VLOOKUP($H86,'How the score is generated (P)'!$B$4:$H$73,4,0)="ü",$Q86,0)</f>
        <v>0</v>
      </c>
      <c r="CB86" s="36">
        <f>IF(VLOOKUP($H86,'How the score is generated (P)'!$B$4:$H$73,4,0)="ü",$S86,0)</f>
        <v>0</v>
      </c>
      <c r="CC86" s="145">
        <f>IF(OR($M86=0,$N86=2),0,IF(VLOOKUP($H86,'How the score is generated (P)'!$B$4:$I$73,4,0)="ü",2,0))</f>
        <v>0</v>
      </c>
      <c r="CD86" s="35" t="str">
        <f>IF(VLOOKUP($H86,'How the score is generated (P)'!$B$4:$H$73,5,0)="ü",$Q86,0)</f>
        <v>NA</v>
      </c>
      <c r="CE86" s="36" t="str">
        <f>IF(VLOOKUP($H86,'How the score is generated (P)'!$B$4:$H$73,5,0)="ü",$S86,0)</f>
        <v>NA</v>
      </c>
      <c r="CF86" s="145">
        <f>IF(OR($M86=0,$N86=2),0,IF(VLOOKUP($H86,'How the score is generated (P)'!$B$4:$I$73,5,0)="ü",2,0))</f>
        <v>0</v>
      </c>
      <c r="CG86" s="35" t="str">
        <f>IF(VLOOKUP($H86,'How the score is generated (P)'!$B$4:$H$73,6,0)="ü",$Q86,0)</f>
        <v>NA</v>
      </c>
      <c r="CH86" s="36" t="str">
        <f>IF(VLOOKUP($H86,'How the score is generated (P)'!$B$4:$H$73,6,0)="ü",$S86,0)</f>
        <v>NA</v>
      </c>
      <c r="CI86" s="145">
        <f>IF(OR($M86=0,$N86=2),0,IF(VLOOKUP($H86,'How the score is generated (P)'!$B$4:$I$73,6,0)="ü",2,0))</f>
        <v>0</v>
      </c>
      <c r="CJ86" s="35" t="str">
        <f>IF(VLOOKUP($H86,'How the score is generated (P)'!$B$4:$H$73,7,0)="ü",$Q86,0)</f>
        <v>NA</v>
      </c>
      <c r="CK86" s="36" t="str">
        <f>IF(VLOOKUP($H86,'How the score is generated (P)'!$B$4:$H$73,7,0)="ü",$S86,0)</f>
        <v>NA</v>
      </c>
      <c r="CL86" s="145">
        <f>IF(OR($M86=0,$N86=2),0,IF(VLOOKUP($H86,'How the score is generated (P)'!$B$4:$I$73,7,0)="ü",2,0))</f>
        <v>0</v>
      </c>
      <c r="CM86" s="35">
        <f>IF(VLOOKUP($H86,'How the score is generated (P)'!$B$4:$I$73,8,0)="ü",$Q86,0)</f>
        <v>0</v>
      </c>
      <c r="CN86" s="36">
        <f>IF(VLOOKUP($H86,'How the score is generated (P)'!$B$4:$I$73,8,0)="ü",$S86,0)</f>
        <v>0</v>
      </c>
      <c r="CO86" s="145">
        <f>IF(OR($M86=0,$N86=2),0,IF(VLOOKUP($H86,'How the score is generated (P)'!$B$4:$I$73,8,0)="ü",2,0))</f>
        <v>0</v>
      </c>
    </row>
    <row r="87" spans="1:94" ht="79" customHeight="1" thickBot="1" x14ac:dyDescent="0.4">
      <c r="A87" s="23"/>
      <c r="B87" s="70"/>
      <c r="C87" s="66" t="str">
        <f>Validation!$S$8</f>
        <v xml:space="preserve">Group 7. Off-Street </v>
      </c>
      <c r="D87" s="165">
        <f>D86+1</f>
        <v>59</v>
      </c>
      <c r="E87" s="46" t="s">
        <v>39</v>
      </c>
      <c r="F87" s="169" t="s">
        <v>20</v>
      </c>
      <c r="G87" s="177" t="s">
        <v>285</v>
      </c>
      <c r="H87" s="178" t="s">
        <v>286</v>
      </c>
      <c r="I87" s="196" t="s">
        <v>996</v>
      </c>
      <c r="J87" s="178" t="s">
        <v>990</v>
      </c>
      <c r="K87" s="403" t="s">
        <v>896</v>
      </c>
      <c r="L87" s="180" t="s">
        <v>991</v>
      </c>
      <c r="M87" s="129">
        <f>IF(Project!$B$27="On-Street",0,1)</f>
        <v>0</v>
      </c>
      <c r="N87" s="425">
        <f>IF(AND(O87="N/A",P87="N/A"),2,0)</f>
        <v>0</v>
      </c>
      <c r="O87" s="144"/>
      <c r="P87" s="144"/>
      <c r="Q87" s="441" t="str">
        <f>IF(OR($M87=0,$O87="N/A"),"NA",VLOOKUP($O87,Validation!$D$2:$E$7,2,0))</f>
        <v>NA</v>
      </c>
      <c r="R87" s="129">
        <f>IF(OR($M87=0,$O87="N/A"),0,2)</f>
        <v>0</v>
      </c>
      <c r="S87" s="441" t="str">
        <f>IF(OR($M87=0,$P87="N/A"),"NA",VLOOKUP($P87,Validation!$D$2:$E$7,2,0))</f>
        <v>NA</v>
      </c>
      <c r="T87" s="34">
        <f>IF(OR($M87=0,$P87="N/A"),0,2)</f>
        <v>0</v>
      </c>
      <c r="U87" s="35">
        <f>IF(VLOOKUP($H87,'How the score is generated'!$B$4:$I$73,2,0)="ü",$Q87,0)</f>
        <v>0</v>
      </c>
      <c r="V87" s="36">
        <f>IF(VLOOKUP($H87,'How the score is generated'!$B$4:$I$73,2,0)="ü",$S87,0)</f>
        <v>0</v>
      </c>
      <c r="W87" s="145">
        <f>IF(OR($M87=0,$N87=2),0,IF(VLOOKUP($H87,'How the score is generated'!$B$4:$I$73,2,0)="ü",2,0))</f>
        <v>0</v>
      </c>
      <c r="X87" s="35" t="str">
        <f>IF(VLOOKUP($H87,'How the score is generated'!$B$4:$I$73,3,0)="ü",$Q87,0)</f>
        <v>NA</v>
      </c>
      <c r="Y87" s="36" t="str">
        <f>IF(VLOOKUP($H87,'How the score is generated'!$B$4:$I$73,3,0)="ü",$S87,0)</f>
        <v>NA</v>
      </c>
      <c r="Z87" s="145">
        <f>IF(OR($M87=0,$N87=2),0,IF(VLOOKUP($H87,'How the score is generated'!$B$4:$I$73,3,0)="ü",2,0))</f>
        <v>0</v>
      </c>
      <c r="AA87" s="35" t="str">
        <f>IF(VLOOKUP($H87,'How the score is generated'!$B$4:$I$73,4,0)="ü",$Q87,0)</f>
        <v>NA</v>
      </c>
      <c r="AB87" s="36" t="str">
        <f>IF(VLOOKUP($H87,'How the score is generated'!$B$4:$I$73,4,0)="ü",$S87,0)</f>
        <v>NA</v>
      </c>
      <c r="AC87" s="145">
        <f>IF(OR($M87=0,$N87=2),0,IF(VLOOKUP($H87,'How the score is generated'!$B$4:$I$73,4,0)="ü",2,0))</f>
        <v>0</v>
      </c>
      <c r="AD87" s="35">
        <f>IF(VLOOKUP($H87,'How the score is generated'!$B$4:$I$73,5,0)="ü",$Q87,0)</f>
        <v>0</v>
      </c>
      <c r="AE87" s="36">
        <f>IF(VLOOKUP($H87,'How the score is generated'!$B$4:$I$73,5,0)="ü",$S87,0)</f>
        <v>0</v>
      </c>
      <c r="AF87" s="145">
        <f>IF(OR($M87=0,$N87=2),0,IF(VLOOKUP($H87,'How the score is generated'!$B$4:$I$73,5,0)="ü",2,0))</f>
        <v>0</v>
      </c>
      <c r="AG87" s="35">
        <f>IF(VLOOKUP($H87,'How the score is generated'!$B$4:$I$73,6,0)="ü",$Q87,0)</f>
        <v>0</v>
      </c>
      <c r="AH87" s="36">
        <f>IF(VLOOKUP($H87,'How the score is generated'!$B$4:$I$73,6,0)="ü",$S87,0)</f>
        <v>0</v>
      </c>
      <c r="AI87" s="145">
        <f>IF(OR($M87=0,$N87=2),0,IF(VLOOKUP($H87,'How the score is generated'!$B$4:$I$73,6,0)="ü",2,0))</f>
        <v>0</v>
      </c>
      <c r="AJ87" s="35">
        <f>IF(VLOOKUP($H87,'How the score is generated'!$B$4:$I$73,7,0)="ü",$Q87,0)</f>
        <v>0</v>
      </c>
      <c r="AK87" s="36">
        <f>IF(VLOOKUP($H87,'How the score is generated'!$B$4:$I$73,7,0)="ü",$S87,0)</f>
        <v>0</v>
      </c>
      <c r="AL87" s="145">
        <f>IF(OR($M87=0,$N87=2),0,IF(VLOOKUP($H87,'How the score is generated'!$B$4:$I$73,7,0)="ü",2,0))</f>
        <v>0</v>
      </c>
      <c r="AM87" s="35">
        <f>IF(VLOOKUP($H87,'How the score is generated'!$B$4:$I$73,8,0)="ü",$Q87,0)</f>
        <v>0</v>
      </c>
      <c r="AN87" s="36">
        <f>IF(VLOOKUP($H87,'How the score is generated'!$B$4:$I$73,8,0)="ü",$S87,0)</f>
        <v>0</v>
      </c>
      <c r="AO87" s="145">
        <f>IF(OR($M87=0,$N87=2),0,IF(VLOOKUP($H87,'How the score is generated'!$B$4:$I$73,8,0)="ü",2,0))</f>
        <v>0</v>
      </c>
      <c r="AP87" s="23"/>
      <c r="AQ87" s="404"/>
      <c r="AR87" s="23"/>
      <c r="AS87" s="146"/>
      <c r="AW87" s="34"/>
      <c r="AX87" s="34" t="str">
        <f>IF(AW87="Amber",IF(S87=0,"Residual Amber",""),"")</f>
        <v/>
      </c>
      <c r="AY87" s="34" t="str">
        <f t="shared" si="37"/>
        <v/>
      </c>
      <c r="AZ87" s="34" t="str">
        <f t="shared" si="38"/>
        <v/>
      </c>
      <c r="BA87" s="34" t="str">
        <f t="shared" si="39"/>
        <v>59. Existing steps or new/upgraded structures</v>
      </c>
      <c r="BB87" s="35" t="str">
        <f>IF(VLOOKUP($H87,'How the score is generated (H)'!$B$4:$H$73,2,0)="ü",$Q87,0)</f>
        <v>NA</v>
      </c>
      <c r="BC87" s="36" t="str">
        <f>IF(VLOOKUP($H87,'How the score is generated (H)'!$B$4:$H$73,2,0)="ü",$S87,0)</f>
        <v>NA</v>
      </c>
      <c r="BD87" s="145">
        <f>IF(OR($M87=0,$N87=2),0,IF(VLOOKUP($H87,'How the score is generated (H)'!$B$4:$H$73,2,0)="ü",2,0))</f>
        <v>0</v>
      </c>
      <c r="BE87" s="35" t="str">
        <f>IF(VLOOKUP($H87,'How the score is generated (H)'!$B$4:$H$73,3,0)="ü",$Q87,0)</f>
        <v>NA</v>
      </c>
      <c r="BF87" s="36" t="str">
        <f>IF(VLOOKUP($H87,'How the score is generated (H)'!$B$4:$H$73,3,0)="ü",$S87,0)</f>
        <v>NA</v>
      </c>
      <c r="BG87" s="145">
        <f>IF(OR($M87=0,$N87=2),0,IF(VLOOKUP($H87,'How the score is generated (H)'!$B$4:$H$73,3,0)="ü",2,0))</f>
        <v>0</v>
      </c>
      <c r="BH87" s="35">
        <f>IF(VLOOKUP($H87,'How the score is generated (H)'!$B$4:$H$73,4,0)="ü",$Q87,0)</f>
        <v>0</v>
      </c>
      <c r="BI87" s="36">
        <f>IF(VLOOKUP($H87,'How the score is generated (H)'!$B$4:$H$73,4,0)="ü",$S87,0)</f>
        <v>0</v>
      </c>
      <c r="BJ87" s="145">
        <f>IF(OR($M87=0,$N87=2),0,IF(VLOOKUP($H87,'How the score is generated (H)'!$B$4:$H$73,4,0)="ü",2,0))</f>
        <v>0</v>
      </c>
      <c r="BK87" s="35">
        <f>IF(VLOOKUP($H87,'How the score is generated (H)'!$B$4:$H$73,5,0)="ü",$Q87,0)</f>
        <v>0</v>
      </c>
      <c r="BL87" s="36">
        <f>IF(VLOOKUP($H87,'How the score is generated (H)'!$B$4:$H$73,5,0)="ü",$S87,0)</f>
        <v>0</v>
      </c>
      <c r="BM87" s="145">
        <f>IF(OR($M87=0,$N87=2),0,IF(VLOOKUP($H87,'How the score is generated (H)'!$B$4:$H$73,5,0)="ü",2,0))</f>
        <v>0</v>
      </c>
      <c r="BN87" s="35">
        <f>IF(VLOOKUP($H87,'How the score is generated (H)'!$B$4:$H$73,6,0)="ü",$Q87,0)</f>
        <v>0</v>
      </c>
      <c r="BO87" s="36">
        <f>IF(VLOOKUP($H87,'How the score is generated (H)'!$B$4:$H$73,6,0)="ü",$S87,0)</f>
        <v>0</v>
      </c>
      <c r="BP87" s="145">
        <f>IF(OR($M87=0,$N87=2),0,IF(VLOOKUP($H87,'How the score is generated (H)'!$B$4:$H$73,6,0)="ü",2,0))</f>
        <v>0</v>
      </c>
      <c r="BQ87" s="35">
        <f>IF(VLOOKUP($H87,'How the score is generated (H)'!$B$4:$H$73,7,0)="ü",$Q87,0)</f>
        <v>0</v>
      </c>
      <c r="BR87" s="36">
        <f>IF(VLOOKUP($H87,'How the score is generated (H)'!$B$4:$H$73,7,0)="ü",$S87,0)</f>
        <v>0</v>
      </c>
      <c r="BS87" s="145">
        <f>IF(OR($M87=0,$N87=2),0,IF(VLOOKUP($H87,'How the score is generated (H)'!$B$4:$H$73,7,0)="ü",2,0))</f>
        <v>0</v>
      </c>
      <c r="BT87" s="23"/>
      <c r="BU87" s="35">
        <f>IF(VLOOKUP($H87,'How the score is generated (P)'!$B$4:$H$73,2,0)="ü",$Q87,0)</f>
        <v>0</v>
      </c>
      <c r="BV87" s="36">
        <f>IF(VLOOKUP($H87,'How the score is generated (P)'!$B$4:$H$73,2,0)="ü",$S87,0)</f>
        <v>0</v>
      </c>
      <c r="BW87" s="145">
        <f>IF(OR($M87=0,$N87=2),0,IF(VLOOKUP($H87,'How the score is generated (P)'!$B$4:$I$73,2,0)="ü",2,0))</f>
        <v>0</v>
      </c>
      <c r="BX87" s="35">
        <f>IF(VLOOKUP($H87,'How the score is generated (P)'!$B$4:$H$73,3,0)="ü",$Q87,0)</f>
        <v>0</v>
      </c>
      <c r="BY87" s="36">
        <f>IF(VLOOKUP($H87,'How the score is generated (P)'!$B$4:$H$73,3,0)="ü",$S87,0)</f>
        <v>0</v>
      </c>
      <c r="BZ87" s="145">
        <f>IF(OR($M87=0,$N87=2),0,IF(VLOOKUP($H87,'How the score is generated (P)'!$B$4:$I$73,3,0)="ü",2,0))</f>
        <v>0</v>
      </c>
      <c r="CA87" s="35">
        <f>IF(VLOOKUP($H87,'How the score is generated (P)'!$B$4:$H$73,4,0)="ü",$Q87,0)</f>
        <v>0</v>
      </c>
      <c r="CB87" s="36">
        <f>IF(VLOOKUP($H87,'How the score is generated (P)'!$B$4:$H$73,4,0)="ü",$S87,0)</f>
        <v>0</v>
      </c>
      <c r="CC87" s="145">
        <f>IF(OR($M87=0,$N87=2),0,IF(VLOOKUP($H87,'How the score is generated (P)'!$B$4:$I$73,4,0)="ü",2,0))</f>
        <v>0</v>
      </c>
      <c r="CD87" s="35" t="str">
        <f>IF(VLOOKUP($H87,'How the score is generated (P)'!$B$4:$H$73,5,0)="ü",$Q87,0)</f>
        <v>NA</v>
      </c>
      <c r="CE87" s="36" t="str">
        <f>IF(VLOOKUP($H87,'How the score is generated (P)'!$B$4:$H$73,5,0)="ü",$S87,0)</f>
        <v>NA</v>
      </c>
      <c r="CF87" s="145">
        <f>IF(OR($M87=0,$N87=2),0,IF(VLOOKUP($H87,'How the score is generated (P)'!$B$4:$I$73,5,0)="ü",2,0))</f>
        <v>0</v>
      </c>
      <c r="CG87" s="35" t="str">
        <f>IF(VLOOKUP($H87,'How the score is generated (P)'!$B$4:$H$73,6,0)="ü",$Q87,0)</f>
        <v>NA</v>
      </c>
      <c r="CH87" s="36" t="str">
        <f>IF(VLOOKUP($H87,'How the score is generated (P)'!$B$4:$H$73,6,0)="ü",$S87,0)</f>
        <v>NA</v>
      </c>
      <c r="CI87" s="145">
        <f>IF(OR($M87=0,$N87=2),0,IF(VLOOKUP($H87,'How the score is generated (P)'!$B$4:$I$73,6,0)="ü",2,0))</f>
        <v>0</v>
      </c>
      <c r="CJ87" s="35" t="str">
        <f>IF(VLOOKUP($H87,'How the score is generated (P)'!$B$4:$H$73,7,0)="ü",$Q87,0)</f>
        <v>NA</v>
      </c>
      <c r="CK87" s="36" t="str">
        <f>IF(VLOOKUP($H87,'How the score is generated (P)'!$B$4:$H$73,7,0)="ü",$S87,0)</f>
        <v>NA</v>
      </c>
      <c r="CL87" s="145">
        <f>IF(OR($M87=0,$N87=2),0,IF(VLOOKUP($H87,'How the score is generated (P)'!$B$4:$I$73,7,0)="ü",2,0))</f>
        <v>0</v>
      </c>
      <c r="CM87" s="35" t="str">
        <f>IF(VLOOKUP($H87,'How the score is generated (P)'!$B$4:$I$73,8,0)="ü",$Q87,0)</f>
        <v>NA</v>
      </c>
      <c r="CN87" s="36" t="str">
        <f>IF(VLOOKUP($H87,'How the score is generated (P)'!$B$4:$I$73,8,0)="ü",$S87,0)</f>
        <v>NA</v>
      </c>
      <c r="CO87" s="145">
        <f>IF(OR($M87=0,$N87=2),0,IF(VLOOKUP($H87,'How the score is generated (P)'!$B$4:$I$73,8,0)="ü",2,0))</f>
        <v>0</v>
      </c>
    </row>
    <row r="88" spans="1:94" ht="15" thickBot="1" x14ac:dyDescent="0.4">
      <c r="A88" s="23"/>
      <c r="B88" s="70"/>
      <c r="C88" s="47"/>
      <c r="D88" s="47"/>
      <c r="E88" s="47"/>
      <c r="F88" s="47"/>
      <c r="G88" s="171" t="s">
        <v>944</v>
      </c>
      <c r="H88" s="172"/>
      <c r="I88" s="172"/>
      <c r="J88" s="172"/>
      <c r="K88" s="172"/>
      <c r="L88" s="172"/>
      <c r="M88" s="48"/>
      <c r="N88" s="48"/>
      <c r="O88" s="49" t="str">
        <f>Q88&amp;"/"&amp;R88</f>
        <v>0/0</v>
      </c>
      <c r="P88" s="50" t="str">
        <f>S88&amp;"/"&amp;T88</f>
        <v>0/0</v>
      </c>
      <c r="Q88" s="48">
        <f>SUM(Q83:Q87)</f>
        <v>0</v>
      </c>
      <c r="R88" s="48">
        <f>SUM(R83:R87)</f>
        <v>0</v>
      </c>
      <c r="S88" s="51">
        <f>SUM(S83:S87)</f>
        <v>0</v>
      </c>
      <c r="T88" s="51">
        <f>SUM(T83:T87)</f>
        <v>0</v>
      </c>
      <c r="U88" s="89">
        <f t="shared" ref="U88:AO88" si="40">SUM(U8:U87)</f>
        <v>0</v>
      </c>
      <c r="V88" s="89">
        <f t="shared" si="40"/>
        <v>0</v>
      </c>
      <c r="W88" s="89">
        <f t="shared" si="40"/>
        <v>22</v>
      </c>
      <c r="X88" s="89">
        <f t="shared" si="40"/>
        <v>0</v>
      </c>
      <c r="Y88" s="89">
        <f t="shared" si="40"/>
        <v>0</v>
      </c>
      <c r="Z88" s="89">
        <f>SUM(Z8:Z87)</f>
        <v>50</v>
      </c>
      <c r="AA88" s="89">
        <f t="shared" si="40"/>
        <v>0</v>
      </c>
      <c r="AB88" s="89">
        <f t="shared" si="40"/>
        <v>0</v>
      </c>
      <c r="AC88" s="89">
        <f t="shared" si="40"/>
        <v>54</v>
      </c>
      <c r="AD88" s="89">
        <f t="shared" si="40"/>
        <v>0</v>
      </c>
      <c r="AE88" s="89">
        <f t="shared" si="40"/>
        <v>0</v>
      </c>
      <c r="AF88" s="89">
        <f t="shared" si="40"/>
        <v>24</v>
      </c>
      <c r="AG88" s="89">
        <f t="shared" si="40"/>
        <v>0</v>
      </c>
      <c r="AH88" s="89">
        <f t="shared" si="40"/>
        <v>0</v>
      </c>
      <c r="AI88" s="89">
        <f>SUM(AI8:AI87)</f>
        <v>4</v>
      </c>
      <c r="AJ88" s="89">
        <f t="shared" si="40"/>
        <v>0</v>
      </c>
      <c r="AK88" s="89">
        <f t="shared" si="40"/>
        <v>0</v>
      </c>
      <c r="AL88" s="89">
        <f t="shared" si="40"/>
        <v>8</v>
      </c>
      <c r="AM88" s="89">
        <f t="shared" si="40"/>
        <v>0</v>
      </c>
      <c r="AN88" s="89">
        <f t="shared" si="40"/>
        <v>0</v>
      </c>
      <c r="AO88" s="89">
        <f t="shared" si="40"/>
        <v>10</v>
      </c>
      <c r="AP88" s="23"/>
      <c r="AQ88" s="76"/>
      <c r="AR88" s="23"/>
      <c r="AS88" s="321"/>
      <c r="BB88" s="89">
        <f>SUM(BB8:BB87)</f>
        <v>0</v>
      </c>
      <c r="BC88" s="89">
        <f>SUM(BC8:BC87)</f>
        <v>0</v>
      </c>
      <c r="BD88" s="89">
        <f>SUM(BD8:BD87)</f>
        <v>62</v>
      </c>
      <c r="BE88" s="89">
        <f t="shared" ref="BE88:BS88" si="41">SUM(BE8:BE87)</f>
        <v>0</v>
      </c>
      <c r="BF88" s="89">
        <f t="shared" si="41"/>
        <v>0</v>
      </c>
      <c r="BG88" s="89">
        <f t="shared" si="41"/>
        <v>72</v>
      </c>
      <c r="BH88" s="89">
        <f t="shared" si="41"/>
        <v>0</v>
      </c>
      <c r="BI88" s="89">
        <f t="shared" si="41"/>
        <v>0</v>
      </c>
      <c r="BJ88" s="89">
        <f t="shared" si="41"/>
        <v>70</v>
      </c>
      <c r="BK88" s="89">
        <f t="shared" si="41"/>
        <v>0</v>
      </c>
      <c r="BL88" s="89">
        <f t="shared" si="41"/>
        <v>0</v>
      </c>
      <c r="BM88" s="89">
        <f t="shared" si="41"/>
        <v>26</v>
      </c>
      <c r="BN88" s="89">
        <f t="shared" si="41"/>
        <v>0</v>
      </c>
      <c r="BO88" s="89">
        <f t="shared" si="41"/>
        <v>0</v>
      </c>
      <c r="BP88" s="89">
        <f t="shared" si="41"/>
        <v>54</v>
      </c>
      <c r="BQ88" s="89">
        <f t="shared" si="41"/>
        <v>0</v>
      </c>
      <c r="BR88" s="89">
        <f t="shared" si="41"/>
        <v>0</v>
      </c>
      <c r="BS88" s="89">
        <f t="shared" si="41"/>
        <v>18</v>
      </c>
      <c r="BT88" s="23"/>
      <c r="BU88" s="89">
        <f t="shared" ref="BU88:CC88" si="42">SUM(BU8:BU87)</f>
        <v>0</v>
      </c>
      <c r="BV88" s="89">
        <f t="shared" si="42"/>
        <v>0</v>
      </c>
      <c r="BW88" s="89">
        <f t="shared" si="42"/>
        <v>42</v>
      </c>
      <c r="BX88" s="89">
        <f t="shared" si="42"/>
        <v>0</v>
      </c>
      <c r="BY88" s="89">
        <f t="shared" si="42"/>
        <v>0</v>
      </c>
      <c r="BZ88" s="89">
        <f t="shared" si="42"/>
        <v>14</v>
      </c>
      <c r="CA88" s="89">
        <f t="shared" si="42"/>
        <v>0</v>
      </c>
      <c r="CB88" s="89">
        <f t="shared" si="42"/>
        <v>0</v>
      </c>
      <c r="CC88" s="89">
        <f t="shared" si="42"/>
        <v>38</v>
      </c>
      <c r="CD88" s="89">
        <f t="shared" ref="CD88:CI88" si="43">SUM(CD8:CD87)</f>
        <v>0</v>
      </c>
      <c r="CE88" s="89">
        <f t="shared" si="43"/>
        <v>0</v>
      </c>
      <c r="CF88" s="89">
        <f t="shared" si="43"/>
        <v>56</v>
      </c>
      <c r="CG88" s="89">
        <f t="shared" si="43"/>
        <v>0</v>
      </c>
      <c r="CH88" s="89">
        <f t="shared" si="43"/>
        <v>0</v>
      </c>
      <c r="CI88" s="89">
        <f t="shared" si="43"/>
        <v>50</v>
      </c>
      <c r="CJ88" s="89">
        <f t="shared" ref="CJ88:CO88" si="44">SUM(CJ8:CJ87)</f>
        <v>0</v>
      </c>
      <c r="CK88" s="89">
        <f t="shared" si="44"/>
        <v>0</v>
      </c>
      <c r="CL88" s="89">
        <f t="shared" si="44"/>
        <v>46</v>
      </c>
      <c r="CM88" s="89">
        <f t="shared" si="44"/>
        <v>0</v>
      </c>
      <c r="CN88" s="89">
        <f t="shared" si="44"/>
        <v>0</v>
      </c>
      <c r="CO88" s="89">
        <f t="shared" si="44"/>
        <v>34</v>
      </c>
    </row>
    <row r="89" spans="1:94" x14ac:dyDescent="0.35">
      <c r="A89" s="23"/>
      <c r="B89" s="23"/>
      <c r="D89" s="47"/>
      <c r="E89" s="47"/>
      <c r="F89" s="47"/>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76"/>
      <c r="AR89" s="23"/>
      <c r="AS89" s="321"/>
      <c r="AU89" s="2"/>
      <c r="AV89" s="2"/>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row>
    <row r="90" spans="1:94" x14ac:dyDescent="0.35">
      <c r="G90" s="2"/>
      <c r="AT90" s="2"/>
      <c r="AU90" s="2"/>
      <c r="AV90" s="2"/>
    </row>
    <row r="91" spans="1:94" x14ac:dyDescent="0.35">
      <c r="G91" s="2"/>
      <c r="AT91" s="2"/>
      <c r="AU91" s="2"/>
      <c r="AV91" s="2"/>
    </row>
    <row r="92" spans="1:94" x14ac:dyDescent="0.35">
      <c r="G92" s="2"/>
      <c r="AT92" s="2"/>
      <c r="AU92" s="2"/>
      <c r="AV92" s="2"/>
    </row>
    <row r="93" spans="1:94" x14ac:dyDescent="0.35">
      <c r="G93" s="2"/>
      <c r="AT93" s="2"/>
      <c r="AU93" s="2"/>
      <c r="AV93" s="2"/>
    </row>
    <row r="94" spans="1:94" x14ac:dyDescent="0.35">
      <c r="G94" s="2"/>
      <c r="AT94" s="2"/>
      <c r="AU94" s="2"/>
      <c r="AV94" s="2"/>
    </row>
    <row r="95" spans="1:94" x14ac:dyDescent="0.35">
      <c r="G95" s="2"/>
      <c r="AT95" s="2"/>
      <c r="AU95" s="2"/>
      <c r="AV95" s="2"/>
    </row>
    <row r="96" spans="1:94" x14ac:dyDescent="0.35">
      <c r="G96" s="2"/>
      <c r="AT96" s="2"/>
      <c r="AU96" s="2"/>
      <c r="AV96" s="2"/>
    </row>
    <row r="97" spans="7:48" x14ac:dyDescent="0.35">
      <c r="G97" s="2"/>
      <c r="AT97" s="2"/>
      <c r="AU97" s="2"/>
      <c r="AV97" s="2"/>
    </row>
    <row r="98" spans="7:48" x14ac:dyDescent="0.35">
      <c r="G98" s="2"/>
      <c r="AT98" s="2"/>
      <c r="AU98" s="2"/>
      <c r="AV98" s="2"/>
    </row>
    <row r="99" spans="7:48" x14ac:dyDescent="0.35">
      <c r="G99" s="2"/>
      <c r="AT99" s="2"/>
      <c r="AU99" s="2"/>
      <c r="AV99" s="2"/>
    </row>
    <row r="100" spans="7:48" x14ac:dyDescent="0.35">
      <c r="G100" s="2"/>
      <c r="AT100" s="2"/>
      <c r="AU100" s="2"/>
      <c r="AV100" s="2"/>
    </row>
    <row r="101" spans="7:48" x14ac:dyDescent="0.35">
      <c r="G101" s="2"/>
      <c r="AT101" s="2"/>
      <c r="AU101" s="2"/>
      <c r="AV101" s="2"/>
    </row>
    <row r="102" spans="7:48" x14ac:dyDescent="0.35">
      <c r="G102" s="2"/>
      <c r="AT102" s="2"/>
      <c r="AU102" s="2"/>
      <c r="AV102" s="2"/>
    </row>
    <row r="103" spans="7:48" x14ac:dyDescent="0.35">
      <c r="G103" s="2"/>
      <c r="AT103" s="2"/>
      <c r="AU103" s="2"/>
      <c r="AV103" s="2"/>
    </row>
    <row r="104" spans="7:48" x14ac:dyDescent="0.35">
      <c r="G104" s="2"/>
      <c r="AT104" s="2"/>
      <c r="AU104" s="2"/>
      <c r="AV104" s="2"/>
    </row>
    <row r="105" spans="7:48" x14ac:dyDescent="0.35">
      <c r="G105" s="2"/>
      <c r="AT105" s="2"/>
      <c r="AU105" s="2"/>
      <c r="AV105" s="2"/>
    </row>
    <row r="106" spans="7:48" x14ac:dyDescent="0.35">
      <c r="G106" s="2"/>
      <c r="AT106" s="2"/>
      <c r="AU106" s="2"/>
      <c r="AV106" s="2"/>
    </row>
    <row r="107" spans="7:48" x14ac:dyDescent="0.35">
      <c r="G107" s="2"/>
      <c r="AT107" s="2"/>
      <c r="AU107" s="2"/>
      <c r="AV107" s="2"/>
    </row>
    <row r="108" spans="7:48" x14ac:dyDescent="0.35">
      <c r="G108" s="2"/>
      <c r="AT108" s="2"/>
      <c r="AU108" s="2"/>
      <c r="AV108" s="2"/>
    </row>
    <row r="109" spans="7:48" x14ac:dyDescent="0.35">
      <c r="G109" s="2"/>
      <c r="AT109" s="2"/>
      <c r="AU109" s="2"/>
      <c r="AV109" s="2"/>
    </row>
    <row r="110" spans="7:48" x14ac:dyDescent="0.35">
      <c r="G110" s="2"/>
      <c r="AT110" s="2"/>
      <c r="AU110" s="2"/>
      <c r="AV110" s="2"/>
    </row>
    <row r="111" spans="7:48" x14ac:dyDescent="0.35">
      <c r="G111" s="2"/>
      <c r="AT111" s="2"/>
      <c r="AU111" s="2"/>
      <c r="AV111" s="2"/>
    </row>
    <row r="112" spans="7:48" x14ac:dyDescent="0.35">
      <c r="G112" s="2"/>
      <c r="AT112" s="2"/>
      <c r="AU112" s="2"/>
      <c r="AV112" s="2"/>
    </row>
    <row r="113" spans="7:48" x14ac:dyDescent="0.35">
      <c r="G113" s="2"/>
      <c r="AT113" s="2"/>
      <c r="AU113" s="2"/>
      <c r="AV113" s="2"/>
    </row>
    <row r="114" spans="7:48" x14ac:dyDescent="0.35">
      <c r="G114" s="2"/>
      <c r="AT114" s="2"/>
      <c r="AU114" s="2"/>
      <c r="AV114" s="2"/>
    </row>
    <row r="115" spans="7:48" x14ac:dyDescent="0.35">
      <c r="G115" s="2"/>
      <c r="AT115" s="2"/>
      <c r="AU115" s="2"/>
      <c r="AV115" s="2"/>
    </row>
    <row r="116" spans="7:48" x14ac:dyDescent="0.35">
      <c r="G116" s="2"/>
      <c r="AT116" s="2"/>
      <c r="AU116" s="2"/>
      <c r="AV116" s="2"/>
    </row>
    <row r="117" spans="7:48" x14ac:dyDescent="0.35">
      <c r="G117" s="2"/>
      <c r="AT117" s="2"/>
      <c r="AU117" s="2"/>
      <c r="AV117" s="2"/>
    </row>
    <row r="118" spans="7:48" x14ac:dyDescent="0.35">
      <c r="G118" s="2"/>
      <c r="AT118" s="2"/>
      <c r="AU118" s="2"/>
      <c r="AV118" s="2"/>
    </row>
    <row r="119" spans="7:48" x14ac:dyDescent="0.35">
      <c r="G119" s="2"/>
      <c r="AT119" s="2"/>
      <c r="AU119" s="2"/>
      <c r="AV119" s="2"/>
    </row>
    <row r="120" spans="7:48" x14ac:dyDescent="0.35">
      <c r="G120" s="2"/>
      <c r="AT120" s="2"/>
      <c r="AU120" s="2"/>
      <c r="AV120" s="2"/>
    </row>
    <row r="121" spans="7:48" x14ac:dyDescent="0.35">
      <c r="G121" s="2"/>
      <c r="AT121" s="2"/>
      <c r="AU121" s="2"/>
      <c r="AV121" s="2"/>
    </row>
    <row r="122" spans="7:48" x14ac:dyDescent="0.35">
      <c r="G122" s="2"/>
      <c r="AT122" s="2"/>
      <c r="AU122" s="2"/>
      <c r="AV122" s="2"/>
    </row>
    <row r="123" spans="7:48" x14ac:dyDescent="0.35">
      <c r="G123" s="2"/>
      <c r="AT123" s="2"/>
      <c r="AU123" s="2"/>
      <c r="AV123" s="2"/>
    </row>
    <row r="124" spans="7:48" x14ac:dyDescent="0.35">
      <c r="G124" s="2"/>
      <c r="AT124" s="2"/>
      <c r="AU124" s="2"/>
      <c r="AV124" s="2"/>
    </row>
    <row r="125" spans="7:48" x14ac:dyDescent="0.35">
      <c r="G125" s="2"/>
      <c r="AT125" s="2"/>
      <c r="AU125" s="2"/>
      <c r="AV125" s="2"/>
    </row>
    <row r="126" spans="7:48" x14ac:dyDescent="0.35">
      <c r="G126" s="2"/>
      <c r="AT126" s="2"/>
      <c r="AU126" s="2"/>
      <c r="AV126" s="2"/>
    </row>
    <row r="127" spans="7:48" x14ac:dyDescent="0.35">
      <c r="G127" s="2"/>
      <c r="AT127" s="2"/>
      <c r="AU127" s="2"/>
      <c r="AV127" s="2"/>
    </row>
    <row r="128" spans="7:48" x14ac:dyDescent="0.35">
      <c r="G128" s="2"/>
      <c r="AT128" s="2"/>
      <c r="AU128" s="2"/>
      <c r="AV128" s="2"/>
    </row>
    <row r="129" spans="7:48" x14ac:dyDescent="0.35">
      <c r="G129" s="2"/>
      <c r="AT129" s="2"/>
      <c r="AU129" s="2"/>
      <c r="AV129" s="2"/>
    </row>
    <row r="130" spans="7:48" x14ac:dyDescent="0.35">
      <c r="G130" s="2"/>
      <c r="AT130" s="2"/>
      <c r="AU130" s="2"/>
      <c r="AV130" s="2"/>
    </row>
    <row r="131" spans="7:48" x14ac:dyDescent="0.35">
      <c r="G131" s="2"/>
      <c r="AT131" s="2"/>
      <c r="AU131" s="2"/>
      <c r="AV131" s="2"/>
    </row>
    <row r="132" spans="7:48" x14ac:dyDescent="0.35">
      <c r="G132" s="2"/>
      <c r="AT132" s="2"/>
      <c r="AU132" s="2"/>
      <c r="AV132" s="2"/>
    </row>
    <row r="133" spans="7:48" x14ac:dyDescent="0.35">
      <c r="G133" s="2"/>
      <c r="AT133" s="2"/>
      <c r="AU133" s="2"/>
      <c r="AV133" s="2"/>
    </row>
    <row r="134" spans="7:48" x14ac:dyDescent="0.35">
      <c r="G134" s="2"/>
      <c r="AT134" s="2"/>
      <c r="AU134" s="2"/>
      <c r="AV134" s="2"/>
    </row>
    <row r="135" spans="7:48" x14ac:dyDescent="0.35">
      <c r="G135" s="2"/>
      <c r="AT135" s="2"/>
      <c r="AU135" s="2"/>
      <c r="AV135" s="2"/>
    </row>
    <row r="136" spans="7:48" x14ac:dyDescent="0.35">
      <c r="G136" s="2"/>
      <c r="AT136" s="2"/>
      <c r="AU136" s="2"/>
      <c r="AV136" s="2"/>
    </row>
    <row r="137" spans="7:48" x14ac:dyDescent="0.35">
      <c r="G137" s="2"/>
      <c r="AT137" s="2"/>
      <c r="AU137" s="2"/>
      <c r="AV137" s="2"/>
    </row>
    <row r="138" spans="7:48" x14ac:dyDescent="0.35">
      <c r="G138" s="2"/>
      <c r="AT138" s="2"/>
      <c r="AU138" s="2"/>
      <c r="AV138" s="2"/>
    </row>
    <row r="139" spans="7:48" x14ac:dyDescent="0.35">
      <c r="G139" s="2"/>
      <c r="AT139" s="2"/>
      <c r="AU139" s="2"/>
      <c r="AV139" s="2"/>
    </row>
    <row r="140" spans="7:48" x14ac:dyDescent="0.35">
      <c r="G140" s="2"/>
      <c r="AT140" s="2"/>
      <c r="AU140" s="2"/>
      <c r="AV140" s="2"/>
    </row>
    <row r="141" spans="7:48" x14ac:dyDescent="0.35">
      <c r="G141" s="2"/>
      <c r="AT141" s="2"/>
      <c r="AU141" s="2"/>
      <c r="AV141" s="2"/>
    </row>
    <row r="142" spans="7:48" x14ac:dyDescent="0.35">
      <c r="G142" s="2"/>
      <c r="AT142" s="2"/>
      <c r="AU142" s="2"/>
      <c r="AV142" s="2"/>
    </row>
    <row r="143" spans="7:48" x14ac:dyDescent="0.35">
      <c r="G143" s="2"/>
      <c r="AT143" s="2"/>
      <c r="AU143" s="2"/>
      <c r="AV143" s="2"/>
    </row>
    <row r="144" spans="7:48" x14ac:dyDescent="0.35">
      <c r="G144" s="2"/>
      <c r="AT144" s="2"/>
      <c r="AU144" s="2"/>
      <c r="AV144" s="2"/>
    </row>
    <row r="145" spans="7:48" x14ac:dyDescent="0.35">
      <c r="G145" s="2"/>
      <c r="AT145" s="2"/>
      <c r="AU145" s="2"/>
      <c r="AV145" s="2"/>
    </row>
    <row r="146" spans="7:48" x14ac:dyDescent="0.35">
      <c r="G146" s="2"/>
      <c r="AT146" s="2"/>
      <c r="AU146" s="2"/>
      <c r="AV146" s="2"/>
    </row>
    <row r="147" spans="7:48" x14ac:dyDescent="0.35">
      <c r="G147" s="2"/>
      <c r="AT147" s="2"/>
      <c r="AU147" s="2"/>
      <c r="AV147" s="2"/>
    </row>
    <row r="148" spans="7:48" x14ac:dyDescent="0.35">
      <c r="G148" s="2"/>
      <c r="AT148" s="2"/>
      <c r="AU148" s="2"/>
      <c r="AV148" s="2"/>
    </row>
    <row r="149" spans="7:48" x14ac:dyDescent="0.35">
      <c r="G149" s="2"/>
      <c r="AT149" s="2"/>
      <c r="AU149" s="2"/>
      <c r="AV149" s="2"/>
    </row>
    <row r="150" spans="7:48" x14ac:dyDescent="0.35">
      <c r="G150" s="2"/>
      <c r="AT150" s="2"/>
      <c r="AU150" s="2"/>
      <c r="AV150" s="2"/>
    </row>
    <row r="151" spans="7:48" x14ac:dyDescent="0.35">
      <c r="G151" s="2"/>
      <c r="AT151" s="2"/>
      <c r="AU151" s="2"/>
      <c r="AV151" s="2"/>
    </row>
    <row r="152" spans="7:48" x14ac:dyDescent="0.35">
      <c r="G152" s="2"/>
      <c r="AT152" s="2"/>
      <c r="AU152" s="2"/>
      <c r="AV152" s="2"/>
    </row>
    <row r="153" spans="7:48" x14ac:dyDescent="0.35">
      <c r="G153" s="2"/>
      <c r="AT153" s="2"/>
      <c r="AU153" s="2"/>
      <c r="AV153" s="2"/>
    </row>
    <row r="154" spans="7:48" x14ac:dyDescent="0.35">
      <c r="G154" s="2"/>
      <c r="AT154" s="2"/>
      <c r="AU154" s="2"/>
      <c r="AV154" s="2"/>
    </row>
    <row r="155" spans="7:48" x14ac:dyDescent="0.35">
      <c r="G155" s="2"/>
      <c r="AT155" s="2"/>
      <c r="AU155" s="2"/>
      <c r="AV155" s="2"/>
    </row>
    <row r="156" spans="7:48" x14ac:dyDescent="0.35">
      <c r="G156" s="2"/>
      <c r="AT156" s="2"/>
      <c r="AU156" s="2"/>
      <c r="AV156" s="2"/>
    </row>
    <row r="157" spans="7:48" x14ac:dyDescent="0.35">
      <c r="G157" s="2"/>
      <c r="AT157" s="2"/>
      <c r="AU157" s="2"/>
      <c r="AV157" s="2"/>
    </row>
    <row r="158" spans="7:48" x14ac:dyDescent="0.35">
      <c r="G158" s="2"/>
      <c r="AT158" s="2"/>
      <c r="AU158" s="2"/>
      <c r="AV158" s="2"/>
    </row>
    <row r="159" spans="7:48" x14ac:dyDescent="0.35">
      <c r="G159" s="2"/>
      <c r="AT159" s="2"/>
      <c r="AU159" s="2"/>
      <c r="AV159" s="2"/>
    </row>
    <row r="160" spans="7:48" x14ac:dyDescent="0.35">
      <c r="G160" s="2"/>
      <c r="AT160" s="2"/>
      <c r="AU160" s="2"/>
      <c r="AV160" s="2"/>
    </row>
    <row r="161" spans="7:48" x14ac:dyDescent="0.35">
      <c r="G161" s="2"/>
      <c r="AT161" s="2"/>
      <c r="AU161" s="2"/>
      <c r="AV161" s="2"/>
    </row>
    <row r="162" spans="7:48" x14ac:dyDescent="0.35">
      <c r="G162" s="2"/>
      <c r="AT162" s="2"/>
      <c r="AU162" s="2"/>
      <c r="AV162" s="2"/>
    </row>
    <row r="163" spans="7:48" x14ac:dyDescent="0.35">
      <c r="G163" s="2"/>
      <c r="AT163" s="2"/>
      <c r="AU163" s="2"/>
      <c r="AV163" s="2"/>
    </row>
    <row r="164" spans="7:48" x14ac:dyDescent="0.35">
      <c r="G164" s="2"/>
      <c r="AT164" s="2"/>
      <c r="AU164" s="2"/>
      <c r="AV164" s="2"/>
    </row>
    <row r="165" spans="7:48" x14ac:dyDescent="0.35">
      <c r="G165" s="2"/>
      <c r="AT165" s="2"/>
      <c r="AU165" s="2"/>
      <c r="AV165" s="2"/>
    </row>
    <row r="166" spans="7:48" x14ac:dyDescent="0.35">
      <c r="G166" s="2"/>
      <c r="AT166" s="2"/>
      <c r="AU166" s="2"/>
      <c r="AV166" s="2"/>
    </row>
    <row r="167" spans="7:48" x14ac:dyDescent="0.35">
      <c r="G167" s="2"/>
      <c r="AT167" s="2"/>
      <c r="AU167" s="2"/>
      <c r="AV167" s="2"/>
    </row>
    <row r="168" spans="7:48" x14ac:dyDescent="0.35">
      <c r="G168" s="2"/>
      <c r="AT168" s="2"/>
      <c r="AU168" s="2"/>
      <c r="AV168" s="2"/>
    </row>
    <row r="169" spans="7:48" x14ac:dyDescent="0.35">
      <c r="G169" s="2"/>
      <c r="AT169" s="2"/>
      <c r="AU169" s="2"/>
      <c r="AV169" s="2"/>
    </row>
    <row r="170" spans="7:48" x14ac:dyDescent="0.35">
      <c r="G170" s="2"/>
      <c r="AT170" s="2"/>
      <c r="AU170" s="2"/>
      <c r="AV170" s="2"/>
    </row>
    <row r="171" spans="7:48" x14ac:dyDescent="0.35">
      <c r="G171" s="2"/>
      <c r="AT171" s="2"/>
      <c r="AU171" s="2"/>
      <c r="AV171" s="2"/>
    </row>
    <row r="172" spans="7:48" x14ac:dyDescent="0.35">
      <c r="G172" s="2"/>
      <c r="AT172" s="2"/>
      <c r="AU172" s="2"/>
      <c r="AV172" s="2"/>
    </row>
    <row r="173" spans="7:48" x14ac:dyDescent="0.35">
      <c r="G173" s="2"/>
      <c r="AT173" s="2"/>
      <c r="AU173" s="2"/>
      <c r="AV173" s="2"/>
    </row>
    <row r="174" spans="7:48" x14ac:dyDescent="0.35">
      <c r="G174" s="2"/>
      <c r="AT174" s="2"/>
      <c r="AU174" s="2"/>
      <c r="AV174" s="2"/>
    </row>
    <row r="175" spans="7:48" x14ac:dyDescent="0.35">
      <c r="G175" s="2"/>
      <c r="AT175" s="2"/>
      <c r="AU175" s="2"/>
      <c r="AV175" s="2"/>
    </row>
    <row r="176" spans="7:48" x14ac:dyDescent="0.35">
      <c r="G176" s="2"/>
      <c r="AT176" s="2"/>
      <c r="AU176" s="2"/>
      <c r="AV176" s="2"/>
    </row>
    <row r="177" spans="7:48" x14ac:dyDescent="0.35">
      <c r="G177" s="2"/>
      <c r="AT177" s="2"/>
      <c r="AU177" s="2"/>
      <c r="AV177" s="2"/>
    </row>
    <row r="178" spans="7:48" x14ac:dyDescent="0.35">
      <c r="G178" s="2"/>
      <c r="AT178" s="2"/>
      <c r="AU178" s="2"/>
      <c r="AV178" s="2"/>
    </row>
    <row r="179" spans="7:48" x14ac:dyDescent="0.35">
      <c r="G179" s="2"/>
      <c r="AT179" s="2"/>
      <c r="AU179" s="2"/>
      <c r="AV179" s="2"/>
    </row>
    <row r="180" spans="7:48" x14ac:dyDescent="0.35">
      <c r="G180" s="2"/>
      <c r="AT180" s="2"/>
      <c r="AU180" s="2"/>
      <c r="AV180" s="2"/>
    </row>
    <row r="181" spans="7:48" x14ac:dyDescent="0.35">
      <c r="G181" s="2"/>
      <c r="AT181" s="2"/>
      <c r="AU181" s="2"/>
      <c r="AV181" s="2"/>
    </row>
    <row r="182" spans="7:48" x14ac:dyDescent="0.35">
      <c r="G182" s="2"/>
      <c r="AT182" s="2"/>
      <c r="AU182" s="2"/>
      <c r="AV182" s="2"/>
    </row>
    <row r="183" spans="7:48" x14ac:dyDescent="0.35">
      <c r="G183" s="2"/>
      <c r="AT183" s="2"/>
      <c r="AU183" s="2"/>
      <c r="AV183" s="2"/>
    </row>
    <row r="184" spans="7:48" x14ac:dyDescent="0.35">
      <c r="G184" s="2"/>
      <c r="AT184" s="2"/>
      <c r="AU184" s="2"/>
      <c r="AV184" s="2"/>
    </row>
    <row r="185" spans="7:48" x14ac:dyDescent="0.35">
      <c r="G185" s="2"/>
      <c r="AT185" s="2"/>
      <c r="AU185" s="2"/>
      <c r="AV185" s="2"/>
    </row>
    <row r="186" spans="7:48" x14ac:dyDescent="0.35">
      <c r="G186" s="2"/>
      <c r="AT186" s="2"/>
      <c r="AU186" s="2"/>
      <c r="AV186" s="2"/>
    </row>
    <row r="187" spans="7:48" x14ac:dyDescent="0.35">
      <c r="G187" s="2"/>
      <c r="AT187" s="2"/>
      <c r="AU187" s="2"/>
      <c r="AV187" s="2"/>
    </row>
    <row r="188" spans="7:48" x14ac:dyDescent="0.35">
      <c r="G188" s="2"/>
      <c r="AT188" s="2"/>
      <c r="AU188" s="2"/>
      <c r="AV188" s="2"/>
    </row>
    <row r="189" spans="7:48" x14ac:dyDescent="0.35">
      <c r="G189" s="2"/>
      <c r="AT189" s="2"/>
      <c r="AU189" s="2"/>
      <c r="AV189" s="2"/>
    </row>
    <row r="190" spans="7:48" x14ac:dyDescent="0.35">
      <c r="G190" s="2"/>
      <c r="AT190" s="2"/>
      <c r="AU190" s="2"/>
      <c r="AV190" s="2"/>
    </row>
    <row r="191" spans="7:48" x14ac:dyDescent="0.35">
      <c r="G191" s="2"/>
      <c r="AT191" s="2"/>
      <c r="AU191" s="2"/>
      <c r="AV191" s="2"/>
    </row>
    <row r="192" spans="7:48" x14ac:dyDescent="0.35">
      <c r="G192" s="2"/>
      <c r="AT192" s="2"/>
      <c r="AU192" s="2"/>
      <c r="AV192" s="2"/>
    </row>
    <row r="193" spans="7:48" x14ac:dyDescent="0.35">
      <c r="G193" s="2"/>
      <c r="AT193" s="2"/>
      <c r="AU193" s="2"/>
      <c r="AV193" s="2"/>
    </row>
    <row r="194" spans="7:48" x14ac:dyDescent="0.35">
      <c r="G194" s="2"/>
      <c r="AT194" s="2"/>
      <c r="AU194" s="2"/>
      <c r="AV194" s="2"/>
    </row>
    <row r="195" spans="7:48" x14ac:dyDescent="0.35">
      <c r="G195" s="2"/>
      <c r="AT195" s="2"/>
      <c r="AU195" s="2"/>
      <c r="AV195" s="2"/>
    </row>
    <row r="196" spans="7:48" x14ac:dyDescent="0.35">
      <c r="G196" s="2"/>
      <c r="AT196" s="2"/>
      <c r="AU196" s="2"/>
      <c r="AV196" s="2"/>
    </row>
    <row r="197" spans="7:48" x14ac:dyDescent="0.35">
      <c r="G197" s="2"/>
      <c r="AT197" s="2"/>
      <c r="AU197" s="2"/>
      <c r="AV197" s="2"/>
    </row>
    <row r="198" spans="7:48" x14ac:dyDescent="0.35">
      <c r="G198" s="2"/>
      <c r="AT198" s="2"/>
      <c r="AU198" s="2"/>
      <c r="AV198" s="2"/>
    </row>
    <row r="199" spans="7:48" x14ac:dyDescent="0.35">
      <c r="G199" s="2"/>
      <c r="AT199" s="2"/>
      <c r="AU199" s="2"/>
      <c r="AV199" s="2"/>
    </row>
    <row r="200" spans="7:48" x14ac:dyDescent="0.35">
      <c r="G200" s="2"/>
      <c r="AT200" s="2"/>
      <c r="AU200" s="2"/>
      <c r="AV200" s="2"/>
    </row>
    <row r="201" spans="7:48" x14ac:dyDescent="0.35">
      <c r="G201" s="2"/>
      <c r="AT201" s="2"/>
      <c r="AU201" s="2"/>
      <c r="AV201" s="2"/>
    </row>
    <row r="202" spans="7:48" x14ac:dyDescent="0.35">
      <c r="G202" s="2"/>
      <c r="AT202" s="2"/>
      <c r="AU202" s="2"/>
      <c r="AV202" s="2"/>
    </row>
    <row r="203" spans="7:48" x14ac:dyDescent="0.35">
      <c r="G203" s="2"/>
      <c r="AT203" s="2"/>
      <c r="AU203" s="2"/>
      <c r="AV203" s="2"/>
    </row>
    <row r="204" spans="7:48" x14ac:dyDescent="0.35">
      <c r="G204" s="2"/>
      <c r="AT204" s="2"/>
      <c r="AU204" s="2"/>
      <c r="AV204" s="2"/>
    </row>
    <row r="205" spans="7:48" x14ac:dyDescent="0.35">
      <c r="G205" s="2"/>
      <c r="AT205" s="2"/>
      <c r="AU205" s="2"/>
      <c r="AV205" s="2"/>
    </row>
    <row r="206" spans="7:48" x14ac:dyDescent="0.35">
      <c r="G206" s="2"/>
      <c r="AT206" s="2"/>
      <c r="AU206" s="2"/>
      <c r="AV206" s="2"/>
    </row>
    <row r="207" spans="7:48" x14ac:dyDescent="0.35">
      <c r="G207" s="2"/>
      <c r="AT207" s="2"/>
      <c r="AU207" s="2"/>
      <c r="AV207" s="2"/>
    </row>
    <row r="208" spans="7:48" x14ac:dyDescent="0.35">
      <c r="G208" s="2"/>
      <c r="AT208" s="2"/>
      <c r="AU208" s="2"/>
      <c r="AV208" s="2"/>
    </row>
    <row r="209" spans="7:48" x14ac:dyDescent="0.35">
      <c r="G209" s="2"/>
      <c r="AT209" s="2"/>
      <c r="AU209" s="2"/>
      <c r="AV209" s="2"/>
    </row>
    <row r="210" spans="7:48" x14ac:dyDescent="0.35">
      <c r="G210" s="2"/>
      <c r="AT210" s="2"/>
      <c r="AU210" s="2"/>
      <c r="AV210" s="2"/>
    </row>
    <row r="211" spans="7:48" x14ac:dyDescent="0.35">
      <c r="G211" s="2"/>
      <c r="AT211" s="2"/>
      <c r="AU211" s="2"/>
      <c r="AV211" s="2"/>
    </row>
    <row r="212" spans="7:48" x14ac:dyDescent="0.35">
      <c r="G212" s="2"/>
      <c r="AT212" s="2"/>
      <c r="AU212" s="2"/>
      <c r="AV212" s="2"/>
    </row>
    <row r="213" spans="7:48" x14ac:dyDescent="0.35">
      <c r="G213" s="2"/>
      <c r="AT213" s="2"/>
      <c r="AU213" s="2"/>
      <c r="AV213" s="2"/>
    </row>
    <row r="214" spans="7:48" x14ac:dyDescent="0.35">
      <c r="G214" s="2"/>
      <c r="AT214" s="2"/>
      <c r="AU214" s="2"/>
      <c r="AV214" s="2"/>
    </row>
    <row r="215" spans="7:48" x14ac:dyDescent="0.35">
      <c r="G215" s="2"/>
      <c r="AT215" s="2"/>
      <c r="AU215" s="2"/>
      <c r="AV215" s="2"/>
    </row>
    <row r="216" spans="7:48" x14ac:dyDescent="0.35">
      <c r="G216" s="2"/>
      <c r="AT216" s="2"/>
      <c r="AU216" s="2"/>
      <c r="AV216" s="2"/>
    </row>
    <row r="217" spans="7:48" x14ac:dyDescent="0.35">
      <c r="G217" s="2"/>
      <c r="AT217" s="2"/>
      <c r="AU217" s="2"/>
      <c r="AV217" s="2"/>
    </row>
    <row r="218" spans="7:48" x14ac:dyDescent="0.35">
      <c r="G218" s="2"/>
      <c r="AT218" s="2"/>
      <c r="AU218" s="2"/>
      <c r="AV218" s="2"/>
    </row>
    <row r="219" spans="7:48" x14ac:dyDescent="0.35">
      <c r="G219" s="2"/>
      <c r="AT219" s="2"/>
      <c r="AU219" s="2"/>
      <c r="AV219" s="2"/>
    </row>
    <row r="220" spans="7:48" x14ac:dyDescent="0.35">
      <c r="G220" s="2"/>
      <c r="AT220" s="2"/>
      <c r="AU220" s="2"/>
      <c r="AV220" s="2"/>
    </row>
    <row r="221" spans="7:48" x14ac:dyDescent="0.35">
      <c r="G221" s="2"/>
      <c r="AT221" s="2"/>
      <c r="AU221" s="2"/>
      <c r="AV221" s="2"/>
    </row>
    <row r="222" spans="7:48" x14ac:dyDescent="0.35">
      <c r="G222" s="2"/>
      <c r="AT222" s="2"/>
      <c r="AU222" s="2"/>
      <c r="AV222" s="2"/>
    </row>
    <row r="223" spans="7:48" x14ac:dyDescent="0.35">
      <c r="G223" s="2"/>
      <c r="AT223" s="2"/>
      <c r="AU223" s="2"/>
      <c r="AV223" s="2"/>
    </row>
    <row r="224" spans="7:48" x14ac:dyDescent="0.35">
      <c r="G224" s="2"/>
      <c r="AT224" s="2"/>
      <c r="AU224" s="2"/>
      <c r="AV224" s="2"/>
    </row>
    <row r="225" spans="7:48" x14ac:dyDescent="0.35">
      <c r="G225" s="2"/>
      <c r="AT225" s="2"/>
      <c r="AU225" s="2"/>
      <c r="AV225" s="2"/>
    </row>
    <row r="226" spans="7:48" x14ac:dyDescent="0.35">
      <c r="G226" s="2"/>
      <c r="AT226" s="2"/>
      <c r="AU226" s="2"/>
      <c r="AV226" s="2"/>
    </row>
    <row r="227" spans="7:48" x14ac:dyDescent="0.35">
      <c r="G227" s="2"/>
      <c r="AT227" s="2"/>
      <c r="AU227" s="2"/>
      <c r="AV227" s="2"/>
    </row>
    <row r="228" spans="7:48" x14ac:dyDescent="0.35">
      <c r="G228" s="2"/>
      <c r="AT228" s="2"/>
      <c r="AU228" s="2"/>
      <c r="AV228" s="2"/>
    </row>
    <row r="229" spans="7:48" x14ac:dyDescent="0.35">
      <c r="G229" s="2"/>
      <c r="AT229" s="2"/>
      <c r="AU229" s="2"/>
      <c r="AV229" s="2"/>
    </row>
    <row r="230" spans="7:48" x14ac:dyDescent="0.35">
      <c r="G230" s="2"/>
      <c r="AT230" s="2"/>
      <c r="AU230" s="2"/>
      <c r="AV230" s="2"/>
    </row>
    <row r="231" spans="7:48" x14ac:dyDescent="0.35">
      <c r="G231" s="2"/>
      <c r="AT231" s="2"/>
      <c r="AU231" s="2"/>
      <c r="AV231" s="2"/>
    </row>
    <row r="232" spans="7:48" x14ac:dyDescent="0.35">
      <c r="G232" s="2"/>
      <c r="AT232" s="2"/>
      <c r="AU232" s="2"/>
      <c r="AV232" s="2"/>
    </row>
    <row r="233" spans="7:48" x14ac:dyDescent="0.35">
      <c r="G233" s="2"/>
      <c r="AT233" s="2"/>
      <c r="AU233" s="2"/>
      <c r="AV233" s="2"/>
    </row>
    <row r="234" spans="7:48" x14ac:dyDescent="0.35">
      <c r="G234" s="2"/>
      <c r="AT234" s="2"/>
      <c r="AU234" s="2"/>
      <c r="AV234" s="2"/>
    </row>
    <row r="235" spans="7:48" x14ac:dyDescent="0.35">
      <c r="G235" s="2"/>
      <c r="AT235" s="2"/>
      <c r="AU235" s="2"/>
      <c r="AV235" s="2"/>
    </row>
    <row r="236" spans="7:48" x14ac:dyDescent="0.35">
      <c r="G236" s="2"/>
      <c r="AT236" s="2"/>
      <c r="AU236" s="2"/>
      <c r="AV236" s="2"/>
    </row>
    <row r="237" spans="7:48" x14ac:dyDescent="0.35">
      <c r="G237" s="2"/>
      <c r="AT237" s="2"/>
      <c r="AU237" s="2"/>
      <c r="AV237" s="2"/>
    </row>
    <row r="238" spans="7:48" x14ac:dyDescent="0.35">
      <c r="G238" s="2"/>
      <c r="AT238" s="2"/>
      <c r="AU238" s="2"/>
      <c r="AV238" s="2"/>
    </row>
    <row r="239" spans="7:48" x14ac:dyDescent="0.35">
      <c r="G239" s="2"/>
      <c r="AT239" s="2"/>
      <c r="AU239" s="2"/>
      <c r="AV239" s="2"/>
    </row>
    <row r="240" spans="7:48" x14ac:dyDescent="0.35">
      <c r="G240" s="2"/>
      <c r="AT240" s="2"/>
      <c r="AU240" s="2"/>
      <c r="AV240" s="2"/>
    </row>
    <row r="241" spans="7:48" x14ac:dyDescent="0.35">
      <c r="G241" s="2"/>
      <c r="AT241" s="2"/>
      <c r="AU241" s="2"/>
      <c r="AV241" s="2"/>
    </row>
    <row r="242" spans="7:48" x14ac:dyDescent="0.35">
      <c r="G242" s="2"/>
      <c r="AT242" s="2"/>
      <c r="AU242" s="2"/>
      <c r="AV242" s="2"/>
    </row>
    <row r="243" spans="7:48" x14ac:dyDescent="0.35">
      <c r="G243" s="2"/>
      <c r="AT243" s="2"/>
      <c r="AU243" s="2"/>
      <c r="AV243" s="2"/>
    </row>
    <row r="244" spans="7:48" x14ac:dyDescent="0.35">
      <c r="G244" s="2"/>
      <c r="AT244" s="2"/>
      <c r="AU244" s="2"/>
      <c r="AV244" s="2"/>
    </row>
    <row r="245" spans="7:48" x14ac:dyDescent="0.35">
      <c r="G245" s="2"/>
      <c r="AT245" s="2"/>
      <c r="AU245" s="2"/>
      <c r="AV245" s="2"/>
    </row>
    <row r="246" spans="7:48" x14ac:dyDescent="0.35">
      <c r="G246" s="2"/>
      <c r="AT246" s="2"/>
      <c r="AU246" s="2"/>
      <c r="AV246" s="2"/>
    </row>
    <row r="247" spans="7:48" x14ac:dyDescent="0.35">
      <c r="G247" s="2"/>
      <c r="AT247" s="2"/>
      <c r="AU247" s="2"/>
      <c r="AV247" s="2"/>
    </row>
    <row r="248" spans="7:48" x14ac:dyDescent="0.35">
      <c r="G248" s="2"/>
      <c r="AT248" s="2"/>
      <c r="AU248" s="2"/>
      <c r="AV248" s="2"/>
    </row>
    <row r="249" spans="7:48" x14ac:dyDescent="0.35">
      <c r="G249" s="2"/>
      <c r="AT249" s="2"/>
      <c r="AU249" s="2"/>
      <c r="AV249" s="2"/>
    </row>
    <row r="250" spans="7:48" x14ac:dyDescent="0.35">
      <c r="G250" s="2"/>
      <c r="AT250" s="2"/>
      <c r="AU250" s="2"/>
      <c r="AV250" s="2"/>
    </row>
    <row r="251" spans="7:48" x14ac:dyDescent="0.35">
      <c r="G251" s="2"/>
      <c r="AT251" s="2"/>
      <c r="AU251" s="2"/>
      <c r="AV251" s="2"/>
    </row>
    <row r="252" spans="7:48" x14ac:dyDescent="0.35">
      <c r="G252" s="2"/>
      <c r="AT252" s="2"/>
      <c r="AU252" s="2"/>
      <c r="AV252" s="2"/>
    </row>
    <row r="253" spans="7:48" x14ac:dyDescent="0.35">
      <c r="G253" s="2"/>
      <c r="AT253" s="2"/>
      <c r="AU253" s="2"/>
      <c r="AV253" s="2"/>
    </row>
    <row r="254" spans="7:48" x14ac:dyDescent="0.35">
      <c r="G254" s="2"/>
      <c r="AT254" s="2"/>
      <c r="AU254" s="2"/>
      <c r="AV254" s="2"/>
    </row>
    <row r="255" spans="7:48" x14ac:dyDescent="0.35">
      <c r="G255" s="2"/>
      <c r="AT255" s="2"/>
      <c r="AU255" s="2"/>
      <c r="AV255" s="2"/>
    </row>
    <row r="256" spans="7:48" x14ac:dyDescent="0.35">
      <c r="G256" s="2"/>
      <c r="AT256" s="2"/>
      <c r="AU256" s="2"/>
      <c r="AV256" s="2"/>
    </row>
    <row r="257" spans="7:48" x14ac:dyDescent="0.35">
      <c r="G257" s="2"/>
      <c r="AT257" s="2"/>
      <c r="AU257" s="2"/>
      <c r="AV257" s="2"/>
    </row>
    <row r="258" spans="7:48" x14ac:dyDescent="0.35">
      <c r="G258" s="2"/>
      <c r="AT258" s="2"/>
      <c r="AU258" s="2"/>
      <c r="AV258" s="2"/>
    </row>
    <row r="259" spans="7:48" x14ac:dyDescent="0.35">
      <c r="G259" s="2"/>
      <c r="AT259" s="2"/>
      <c r="AU259" s="2"/>
      <c r="AV259" s="2"/>
    </row>
    <row r="260" spans="7:48" x14ac:dyDescent="0.35">
      <c r="G260" s="2"/>
      <c r="AT260" s="2"/>
      <c r="AU260" s="2"/>
      <c r="AV260" s="2"/>
    </row>
    <row r="261" spans="7:48" x14ac:dyDescent="0.35">
      <c r="G261" s="2"/>
      <c r="AT261" s="2"/>
      <c r="AU261" s="2"/>
      <c r="AV261" s="2"/>
    </row>
    <row r="262" spans="7:48" x14ac:dyDescent="0.35">
      <c r="G262" s="2"/>
      <c r="AT262" s="2"/>
      <c r="AU262" s="2"/>
      <c r="AV262" s="2"/>
    </row>
    <row r="263" spans="7:48" x14ac:dyDescent="0.35">
      <c r="G263" s="2"/>
      <c r="AT263" s="2"/>
      <c r="AU263" s="2"/>
      <c r="AV263" s="2"/>
    </row>
    <row r="264" spans="7:48" x14ac:dyDescent="0.35">
      <c r="G264" s="2"/>
      <c r="AT264" s="2"/>
      <c r="AU264" s="2"/>
      <c r="AV264" s="2"/>
    </row>
    <row r="265" spans="7:48" x14ac:dyDescent="0.35">
      <c r="G265" s="2"/>
      <c r="AT265" s="2"/>
      <c r="AU265" s="2"/>
      <c r="AV265" s="2"/>
    </row>
    <row r="266" spans="7:48" x14ac:dyDescent="0.35">
      <c r="G266" s="2"/>
      <c r="AT266" s="2"/>
      <c r="AU266" s="2"/>
      <c r="AV266" s="2"/>
    </row>
    <row r="267" spans="7:48" x14ac:dyDescent="0.35">
      <c r="G267" s="2"/>
      <c r="AT267" s="2"/>
      <c r="AU267" s="2"/>
      <c r="AV267" s="2"/>
    </row>
    <row r="268" spans="7:48" x14ac:dyDescent="0.35">
      <c r="G268" s="2"/>
      <c r="AT268" s="2"/>
      <c r="AU268" s="2"/>
      <c r="AV268" s="2"/>
    </row>
    <row r="269" spans="7:48" x14ac:dyDescent="0.35">
      <c r="G269" s="2"/>
      <c r="AT269" s="2"/>
      <c r="AU269" s="2"/>
      <c r="AV269" s="2"/>
    </row>
    <row r="270" spans="7:48" x14ac:dyDescent="0.35">
      <c r="G270" s="2"/>
      <c r="AT270" s="2"/>
      <c r="AU270" s="2"/>
      <c r="AV270" s="2"/>
    </row>
    <row r="271" spans="7:48" x14ac:dyDescent="0.35">
      <c r="G271" s="2"/>
      <c r="AT271" s="2"/>
      <c r="AU271" s="2"/>
      <c r="AV271" s="2"/>
    </row>
    <row r="272" spans="7:48" x14ac:dyDescent="0.35">
      <c r="G272" s="2"/>
      <c r="AT272" s="2"/>
      <c r="AU272" s="2"/>
      <c r="AV272" s="2"/>
    </row>
    <row r="273" spans="7:48" x14ac:dyDescent="0.35">
      <c r="G273" s="2"/>
      <c r="AT273" s="2"/>
      <c r="AU273" s="2"/>
      <c r="AV273" s="2"/>
    </row>
    <row r="274" spans="7:48" x14ac:dyDescent="0.35">
      <c r="G274" s="2"/>
      <c r="AT274" s="2"/>
      <c r="AU274" s="2"/>
      <c r="AV274" s="2"/>
    </row>
    <row r="275" spans="7:48" x14ac:dyDescent="0.35">
      <c r="G275" s="2"/>
      <c r="AT275" s="2"/>
      <c r="AU275" s="2"/>
      <c r="AV275" s="2"/>
    </row>
    <row r="276" spans="7:48" x14ac:dyDescent="0.35">
      <c r="G276" s="2"/>
      <c r="AT276" s="2"/>
      <c r="AU276" s="2"/>
      <c r="AV276" s="2"/>
    </row>
    <row r="277" spans="7:48" x14ac:dyDescent="0.35">
      <c r="G277" s="2"/>
      <c r="AT277" s="2"/>
      <c r="AU277" s="2"/>
      <c r="AV277" s="2"/>
    </row>
    <row r="278" spans="7:48" x14ac:dyDescent="0.35">
      <c r="G278" s="2"/>
      <c r="AT278" s="2"/>
      <c r="AU278" s="2"/>
      <c r="AV278" s="2"/>
    </row>
    <row r="279" spans="7:48" x14ac:dyDescent="0.35">
      <c r="G279" s="2"/>
      <c r="AT279" s="2"/>
      <c r="AU279" s="2"/>
      <c r="AV279" s="2"/>
    </row>
    <row r="280" spans="7:48" x14ac:dyDescent="0.35">
      <c r="G280" s="2"/>
      <c r="AT280" s="2"/>
      <c r="AU280" s="2"/>
      <c r="AV280" s="2"/>
    </row>
    <row r="281" spans="7:48" x14ac:dyDescent="0.35">
      <c r="G281" s="2"/>
      <c r="AT281" s="2"/>
      <c r="AU281" s="2"/>
      <c r="AV281" s="2"/>
    </row>
    <row r="282" spans="7:48" x14ac:dyDescent="0.35">
      <c r="G282" s="2"/>
      <c r="AT282" s="2"/>
      <c r="AU282" s="2"/>
      <c r="AV282" s="2"/>
    </row>
    <row r="283" spans="7:48" x14ac:dyDescent="0.35">
      <c r="G283" s="2"/>
      <c r="AT283" s="2"/>
      <c r="AU283" s="2"/>
      <c r="AV283" s="2"/>
    </row>
    <row r="284" spans="7:48" x14ac:dyDescent="0.35">
      <c r="G284" s="2"/>
      <c r="AT284" s="2"/>
      <c r="AU284" s="2"/>
      <c r="AV284" s="2"/>
    </row>
    <row r="285" spans="7:48" x14ac:dyDescent="0.35">
      <c r="G285" s="2"/>
      <c r="AT285" s="2"/>
      <c r="AU285" s="2"/>
      <c r="AV285" s="2"/>
    </row>
    <row r="286" spans="7:48" x14ac:dyDescent="0.35">
      <c r="G286" s="2"/>
      <c r="AT286" s="2"/>
      <c r="AU286" s="2"/>
      <c r="AV286" s="2"/>
    </row>
    <row r="287" spans="7:48" x14ac:dyDescent="0.35">
      <c r="G287" s="2"/>
      <c r="AT287" s="2"/>
      <c r="AU287" s="2"/>
      <c r="AV287" s="2"/>
    </row>
    <row r="288" spans="7:48" x14ac:dyDescent="0.35">
      <c r="G288" s="2"/>
      <c r="AT288" s="2"/>
      <c r="AU288" s="2"/>
      <c r="AV288" s="2"/>
    </row>
    <row r="289" spans="7:48" x14ac:dyDescent="0.35">
      <c r="G289" s="2"/>
      <c r="AT289" s="2"/>
      <c r="AU289" s="2"/>
      <c r="AV289" s="2"/>
    </row>
    <row r="290" spans="7:48" x14ac:dyDescent="0.35">
      <c r="G290" s="2"/>
      <c r="AT290" s="2"/>
      <c r="AU290" s="2"/>
      <c r="AV290" s="2"/>
    </row>
    <row r="291" spans="7:48" x14ac:dyDescent="0.35">
      <c r="G291" s="2"/>
      <c r="AT291" s="2"/>
      <c r="AU291" s="2"/>
      <c r="AV291" s="2"/>
    </row>
    <row r="292" spans="7:48" x14ac:dyDescent="0.35">
      <c r="G292" s="2"/>
      <c r="AT292" s="2"/>
      <c r="AU292" s="2"/>
      <c r="AV292" s="2"/>
    </row>
    <row r="293" spans="7:48" x14ac:dyDescent="0.35">
      <c r="G293" s="2"/>
      <c r="AT293" s="2"/>
      <c r="AU293" s="2"/>
      <c r="AV293" s="2"/>
    </row>
    <row r="294" spans="7:48" x14ac:dyDescent="0.35">
      <c r="G294" s="2"/>
      <c r="AT294" s="2"/>
      <c r="AU294" s="2"/>
      <c r="AV294" s="2"/>
    </row>
    <row r="295" spans="7:48" x14ac:dyDescent="0.35">
      <c r="G295" s="2"/>
      <c r="AT295" s="2"/>
      <c r="AU295" s="2"/>
      <c r="AV295" s="2"/>
    </row>
    <row r="296" spans="7:48" x14ac:dyDescent="0.35">
      <c r="G296" s="2"/>
      <c r="AT296" s="2"/>
      <c r="AU296" s="2"/>
      <c r="AV296" s="2"/>
    </row>
    <row r="297" spans="7:48" x14ac:dyDescent="0.35">
      <c r="G297" s="2"/>
      <c r="AT297" s="2"/>
      <c r="AU297" s="2"/>
      <c r="AV297" s="2"/>
    </row>
    <row r="298" spans="7:48" x14ac:dyDescent="0.35">
      <c r="G298" s="2"/>
      <c r="AT298" s="2"/>
      <c r="AU298" s="2"/>
      <c r="AV298" s="2"/>
    </row>
    <row r="299" spans="7:48" x14ac:dyDescent="0.35">
      <c r="G299" s="2"/>
      <c r="AT299" s="2"/>
      <c r="AU299" s="2"/>
      <c r="AV299" s="2"/>
    </row>
    <row r="300" spans="7:48" x14ac:dyDescent="0.35">
      <c r="G300" s="2"/>
      <c r="AT300" s="2"/>
      <c r="AU300" s="2"/>
      <c r="AV300" s="2"/>
    </row>
    <row r="301" spans="7:48" x14ac:dyDescent="0.35">
      <c r="G301" s="2"/>
      <c r="AT301" s="2"/>
      <c r="AU301" s="2"/>
      <c r="AV301" s="2"/>
    </row>
    <row r="302" spans="7:48" x14ac:dyDescent="0.35">
      <c r="G302" s="2"/>
      <c r="AT302" s="2"/>
      <c r="AU302" s="2"/>
      <c r="AV302" s="2"/>
    </row>
    <row r="303" spans="7:48" x14ac:dyDescent="0.35">
      <c r="G303" s="2"/>
    </row>
  </sheetData>
  <sheetProtection algorithmName="SHA-512" hashValue="Y3HUtY0YsXrtk6WVh6auntQsplA7hvjYXeYD6NdDdoLwC+qPZezO/LsEQkNmFzLl9YUg75nOAfzQ/GAauRqZ5w==" saltValue="ZUFtJwsjqiT5EVL+oEoqfg==" spinCount="100000" sheet="1" selectLockedCells="1"/>
  <dataConsolidate/>
  <mergeCells count="50">
    <mergeCell ref="CD4:CF5"/>
    <mergeCell ref="CG4:CI5"/>
    <mergeCell ref="CJ4:CL5"/>
    <mergeCell ref="BN4:BP5"/>
    <mergeCell ref="BQ4:BS5"/>
    <mergeCell ref="BU4:BW5"/>
    <mergeCell ref="BX4:BZ5"/>
    <mergeCell ref="CA4:CC5"/>
    <mergeCell ref="I3:I5"/>
    <mergeCell ref="CM4:CO5"/>
    <mergeCell ref="AJ4:AL5"/>
    <mergeCell ref="AG4:AI5"/>
    <mergeCell ref="U4:W5"/>
    <mergeCell ref="X4:Z5"/>
    <mergeCell ref="AA4:AC5"/>
    <mergeCell ref="AD4:AF5"/>
    <mergeCell ref="O3:P5"/>
    <mergeCell ref="Q3:T5"/>
    <mergeCell ref="BB3:BS3"/>
    <mergeCell ref="BU3:CN3"/>
    <mergeCell ref="BB4:BD5"/>
    <mergeCell ref="BE4:BG5"/>
    <mergeCell ref="BH4:BJ5"/>
    <mergeCell ref="BK4:BM5"/>
    <mergeCell ref="G82:L82"/>
    <mergeCell ref="G7:L7"/>
    <mergeCell ref="G15:L15"/>
    <mergeCell ref="G24:L24"/>
    <mergeCell ref="G34:L34"/>
    <mergeCell ref="G48:L48"/>
    <mergeCell ref="G64:L64"/>
    <mergeCell ref="G65:L65"/>
    <mergeCell ref="G70:L70"/>
    <mergeCell ref="G77:L77"/>
    <mergeCell ref="M70:S70"/>
    <mergeCell ref="AQ3:AQ5"/>
    <mergeCell ref="BA3:BA5"/>
    <mergeCell ref="C3:C5"/>
    <mergeCell ref="D3:D5"/>
    <mergeCell ref="E3:E5"/>
    <mergeCell ref="F3:F5"/>
    <mergeCell ref="AS3:AS5"/>
    <mergeCell ref="U3:AN3"/>
    <mergeCell ref="AW3:AZ5"/>
    <mergeCell ref="J3:J5"/>
    <mergeCell ref="K3:K5"/>
    <mergeCell ref="L3:L5"/>
    <mergeCell ref="AM4:AO5"/>
    <mergeCell ref="H3:H5"/>
    <mergeCell ref="G3:G5"/>
  </mergeCells>
  <phoneticPr fontId="51" type="noConversion"/>
  <conditionalFormatting sqref="C66:C69">
    <cfRule type="expression" dxfId="228" priority="1895">
      <formula>#REF! ="N"</formula>
    </cfRule>
  </conditionalFormatting>
  <conditionalFormatting sqref="C71:C76">
    <cfRule type="expression" dxfId="227" priority="685">
      <formula>#REF! ="N"</formula>
    </cfRule>
  </conditionalFormatting>
  <conditionalFormatting sqref="C78:C79">
    <cfRule type="expression" dxfId="226" priority="684">
      <formula>#REF! ="N"</formula>
    </cfRule>
  </conditionalFormatting>
  <conditionalFormatting sqref="C82">
    <cfRule type="expression" dxfId="225" priority="683">
      <formula>#REF! ="N"</formula>
    </cfRule>
  </conditionalFormatting>
  <conditionalFormatting sqref="D8:L12 D16:L17 D18:E21 G18:L21 D25:L31 D35:L45 D49:L61 D66:L69 D71:L76 D78:L79 D83:L87">
    <cfRule type="expression" dxfId="224" priority="1084">
      <formula>$M8=0</formula>
    </cfRule>
  </conditionalFormatting>
  <conditionalFormatting sqref="F18:F21">
    <cfRule type="expression" dxfId="223" priority="1087">
      <formula>$M16=0</formula>
    </cfRule>
  </conditionalFormatting>
  <conditionalFormatting sqref="G81">
    <cfRule type="expression" dxfId="222" priority="1863">
      <formula>#REF! ="N"</formula>
    </cfRule>
  </conditionalFormatting>
  <conditionalFormatting sqref="H81:L81 D81:F82">
    <cfRule type="expression" dxfId="221" priority="1947">
      <formula>#REF! ="N"</formula>
    </cfRule>
  </conditionalFormatting>
  <conditionalFormatting sqref="M8:N12 M16:N21 M25:N31 M35:N45 AW35:BA45">
    <cfRule type="cellIs" dxfId="220" priority="1911" operator="equal">
      <formula>"Very Good (2)"</formula>
    </cfRule>
    <cfRule type="cellIs" dxfId="219" priority="1908" operator="equal">
      <formula>"Critical"</formula>
    </cfRule>
    <cfRule type="cellIs" dxfId="218" priority="1909" operator="equal">
      <formula>"Basic (0)"</formula>
    </cfRule>
    <cfRule type="cellIs" dxfId="217" priority="1910" operator="equal">
      <formula>"Good (1)"</formula>
    </cfRule>
  </conditionalFormatting>
  <conditionalFormatting sqref="M49:N61">
    <cfRule type="cellIs" dxfId="216" priority="36" operator="equal">
      <formula>"Very Good (2)"</formula>
    </cfRule>
    <cfRule type="cellIs" dxfId="215" priority="35" operator="equal">
      <formula>"Good (1)"</formula>
    </cfRule>
    <cfRule type="cellIs" dxfId="214" priority="34" operator="equal">
      <formula>"Basic (0)"</formula>
    </cfRule>
    <cfRule type="cellIs" dxfId="213" priority="33" operator="equal">
      <formula>"Critical"</formula>
    </cfRule>
  </conditionalFormatting>
  <conditionalFormatting sqref="M66:N69">
    <cfRule type="cellIs" dxfId="212" priority="31" operator="equal">
      <formula>"Good (1)"</formula>
    </cfRule>
    <cfRule type="cellIs" dxfId="211" priority="32" operator="equal">
      <formula>"Very Good (2)"</formula>
    </cfRule>
    <cfRule type="cellIs" dxfId="210" priority="30" operator="equal">
      <formula>"Basic (0)"</formula>
    </cfRule>
    <cfRule type="cellIs" dxfId="209" priority="29" operator="equal">
      <formula>"Critical"</formula>
    </cfRule>
  </conditionalFormatting>
  <conditionalFormatting sqref="M71:N76">
    <cfRule type="cellIs" dxfId="208" priority="23" operator="equal">
      <formula>"Good (1)"</formula>
    </cfRule>
    <cfRule type="cellIs" dxfId="207" priority="22" operator="equal">
      <formula>"Basic (0)"</formula>
    </cfRule>
    <cfRule type="cellIs" dxfId="206" priority="24" operator="equal">
      <formula>"Very Good (2)"</formula>
    </cfRule>
    <cfRule type="cellIs" dxfId="205" priority="21" operator="equal">
      <formula>"Critical"</formula>
    </cfRule>
  </conditionalFormatting>
  <conditionalFormatting sqref="M78:N79">
    <cfRule type="cellIs" dxfId="204" priority="13" operator="equal">
      <formula>"Critical"</formula>
    </cfRule>
    <cfRule type="cellIs" dxfId="203" priority="14" operator="equal">
      <formula>"Basic (0)"</formula>
    </cfRule>
    <cfRule type="cellIs" dxfId="202" priority="15" operator="equal">
      <formula>"Good (1)"</formula>
    </cfRule>
    <cfRule type="cellIs" dxfId="201" priority="16" operator="equal">
      <formula>"Very Good (2)"</formula>
    </cfRule>
  </conditionalFormatting>
  <conditionalFormatting sqref="M83:N87">
    <cfRule type="cellIs" dxfId="200" priority="7" operator="equal">
      <formula>"Good (1)"</formula>
    </cfRule>
    <cfRule type="cellIs" dxfId="199" priority="8" operator="equal">
      <formula>"Very Good (2)"</formula>
    </cfRule>
    <cfRule type="cellIs" dxfId="198" priority="6" operator="equal">
      <formula>"Basic (0)"</formula>
    </cfRule>
    <cfRule type="cellIs" dxfId="197" priority="5" operator="equal">
      <formula>"Critical"</formula>
    </cfRule>
  </conditionalFormatting>
  <conditionalFormatting sqref="M81:T81">
    <cfRule type="expression" dxfId="196" priority="1561">
      <formula>#REF! ="N"</formula>
    </cfRule>
  </conditionalFormatting>
  <conditionalFormatting sqref="Q8:T12">
    <cfRule type="cellIs" dxfId="195" priority="1525" operator="equal">
      <formula>"Critical"</formula>
    </cfRule>
    <cfRule type="cellIs" dxfId="194" priority="1526" operator="equal">
      <formula>"Basic (0)"</formula>
    </cfRule>
    <cfRule type="cellIs" dxfId="193" priority="1527" operator="equal">
      <formula>"Good (1)"</formula>
    </cfRule>
    <cfRule type="cellIs" dxfId="192" priority="1528" operator="equal">
      <formula>"Very Good (2)"</formula>
    </cfRule>
  </conditionalFormatting>
  <conditionalFormatting sqref="Q16:T21">
    <cfRule type="cellIs" dxfId="191" priority="52" operator="equal">
      <formula>"Very Good (2)"</formula>
    </cfRule>
    <cfRule type="cellIs" dxfId="190" priority="51" operator="equal">
      <formula>"Good (1)"</formula>
    </cfRule>
    <cfRule type="cellIs" dxfId="189" priority="50" operator="equal">
      <formula>"Basic (0)"</formula>
    </cfRule>
    <cfRule type="cellIs" dxfId="188" priority="49" operator="equal">
      <formula>"Critical"</formula>
    </cfRule>
  </conditionalFormatting>
  <conditionalFormatting sqref="Q25:T31">
    <cfRule type="cellIs" dxfId="187" priority="45" operator="equal">
      <formula>"Critical"</formula>
    </cfRule>
    <cfRule type="cellIs" dxfId="186" priority="46" operator="equal">
      <formula>"Basic (0)"</formula>
    </cfRule>
    <cfRule type="cellIs" dxfId="185" priority="47" operator="equal">
      <formula>"Good (1)"</formula>
    </cfRule>
    <cfRule type="cellIs" dxfId="184" priority="48" operator="equal">
      <formula>"Very Good (2)"</formula>
    </cfRule>
  </conditionalFormatting>
  <conditionalFormatting sqref="Q35:T45">
    <cfRule type="cellIs" dxfId="183" priority="41" operator="equal">
      <formula>"Critical"</formula>
    </cfRule>
    <cfRule type="cellIs" dxfId="182" priority="42" operator="equal">
      <formula>"Basic (0)"</formula>
    </cfRule>
    <cfRule type="cellIs" dxfId="181" priority="44" operator="equal">
      <formula>"Very Good (2)"</formula>
    </cfRule>
    <cfRule type="cellIs" dxfId="180" priority="43" operator="equal">
      <formula>"Good (1)"</formula>
    </cfRule>
  </conditionalFormatting>
  <conditionalFormatting sqref="Q49:T61">
    <cfRule type="cellIs" dxfId="179" priority="39" operator="equal">
      <formula>"Good (1)"</formula>
    </cfRule>
    <cfRule type="cellIs" dxfId="178" priority="40" operator="equal">
      <formula>"Very Good (2)"</formula>
    </cfRule>
    <cfRule type="cellIs" dxfId="177" priority="37" operator="equal">
      <formula>"Critical"</formula>
    </cfRule>
    <cfRule type="cellIs" dxfId="176" priority="38" operator="equal">
      <formula>"Basic (0)"</formula>
    </cfRule>
  </conditionalFormatting>
  <conditionalFormatting sqref="Q66:T69">
    <cfRule type="cellIs" dxfId="175" priority="28" operator="equal">
      <formula>"Very Good (2)"</formula>
    </cfRule>
    <cfRule type="cellIs" dxfId="174" priority="27" operator="equal">
      <formula>"Good (1)"</formula>
    </cfRule>
    <cfRule type="cellIs" dxfId="173" priority="26" operator="equal">
      <formula>"Basic (0)"</formula>
    </cfRule>
    <cfRule type="cellIs" dxfId="172" priority="25" operator="equal">
      <formula>"Critical"</formula>
    </cfRule>
  </conditionalFormatting>
  <conditionalFormatting sqref="Q71:T76">
    <cfRule type="cellIs" dxfId="171" priority="20" operator="equal">
      <formula>"Very Good (2)"</formula>
    </cfRule>
    <cfRule type="cellIs" dxfId="170" priority="19" operator="equal">
      <formula>"Good (1)"</formula>
    </cfRule>
    <cfRule type="cellIs" dxfId="169" priority="17" operator="equal">
      <formula>"Critical"</formula>
    </cfRule>
    <cfRule type="cellIs" dxfId="168" priority="18" operator="equal">
      <formula>"Basic (0)"</formula>
    </cfRule>
  </conditionalFormatting>
  <conditionalFormatting sqref="Q78:T79">
    <cfRule type="cellIs" dxfId="167" priority="12" operator="equal">
      <formula>"Very Good (2)"</formula>
    </cfRule>
    <cfRule type="cellIs" dxfId="166" priority="9" operator="equal">
      <formula>"Critical"</formula>
    </cfRule>
    <cfRule type="cellIs" dxfId="165" priority="10" operator="equal">
      <formula>"Basic (0)"</formula>
    </cfRule>
    <cfRule type="cellIs" dxfId="164" priority="11" operator="equal">
      <formula>"Good (1)"</formula>
    </cfRule>
  </conditionalFormatting>
  <conditionalFormatting sqref="Q83:T87">
    <cfRule type="cellIs" dxfId="163" priority="1" operator="equal">
      <formula>"Critical"</formula>
    </cfRule>
    <cfRule type="cellIs" dxfId="162" priority="3" operator="equal">
      <formula>"Good (1)"</formula>
    </cfRule>
    <cfRule type="cellIs" dxfId="161" priority="4" operator="equal">
      <formula>"Very Good (2)"</formula>
    </cfRule>
    <cfRule type="cellIs" dxfId="160" priority="2" operator="equal">
      <formula>"Basic (0)"</formula>
    </cfRule>
  </conditionalFormatting>
  <conditionalFormatting sqref="AW8:BA12 AW16:BA21">
    <cfRule type="cellIs" dxfId="159" priority="1615" operator="equal">
      <formula>"Critical"</formula>
    </cfRule>
    <cfRule type="cellIs" dxfId="158" priority="1616" operator="equal">
      <formula>"Basic (0)"</formula>
    </cfRule>
    <cfRule type="cellIs" dxfId="157" priority="1617" operator="equal">
      <formula>"Good (1)"</formula>
    </cfRule>
    <cfRule type="cellIs" dxfId="156" priority="1618" operator="equal">
      <formula>"Very Good (2)"</formula>
    </cfRule>
  </conditionalFormatting>
  <conditionalFormatting sqref="AW25:BA31">
    <cfRule type="cellIs" dxfId="155" priority="209" operator="equal">
      <formula>"Critical"</formula>
    </cfRule>
    <cfRule type="cellIs" dxfId="154" priority="210" operator="equal">
      <formula>"Basic (0)"</formula>
    </cfRule>
    <cfRule type="cellIs" dxfId="153" priority="211" operator="equal">
      <formula>"Good (1)"</formula>
    </cfRule>
    <cfRule type="cellIs" dxfId="152" priority="212" operator="equal">
      <formula>"Very Good (2)"</formula>
    </cfRule>
  </conditionalFormatting>
  <conditionalFormatting sqref="AW49:BA61">
    <cfRule type="cellIs" dxfId="151" priority="98" operator="equal">
      <formula>"Basic (0)"</formula>
    </cfRule>
    <cfRule type="cellIs" dxfId="150" priority="99" operator="equal">
      <formula>"Good (1)"</formula>
    </cfRule>
    <cfRule type="cellIs" dxfId="149" priority="100" operator="equal">
      <formula>"Very Good (2)"</formula>
    </cfRule>
    <cfRule type="cellIs" dxfId="148" priority="97" operator="equal">
      <formula>"Critical"</formula>
    </cfRule>
  </conditionalFormatting>
  <conditionalFormatting sqref="AW66:BA69">
    <cfRule type="cellIs" dxfId="147" priority="719" operator="equal">
      <formula>"Basic (0)"</formula>
    </cfRule>
    <cfRule type="cellIs" dxfId="146" priority="720" operator="equal">
      <formula>"Good (1)"</formula>
    </cfRule>
    <cfRule type="cellIs" dxfId="145" priority="721" operator="equal">
      <formula>"Very Good (2)"</formula>
    </cfRule>
    <cfRule type="cellIs" dxfId="144" priority="718" operator="equal">
      <formula>"Critical"</formula>
    </cfRule>
  </conditionalFormatting>
  <conditionalFormatting sqref="AW71:BA79">
    <cfRule type="cellIs" dxfId="143" priority="716" operator="equal">
      <formula>"Good (1)"</formula>
    </cfRule>
    <cfRule type="cellIs" dxfId="142" priority="715" operator="equal">
      <formula>"Basic (0)"</formula>
    </cfRule>
    <cfRule type="cellIs" dxfId="141" priority="714" operator="equal">
      <formula>"Critical"</formula>
    </cfRule>
    <cfRule type="cellIs" dxfId="140" priority="717" operator="equal">
      <formula>"Very Good (2)"</formula>
    </cfRule>
  </conditionalFormatting>
  <conditionalFormatting sqref="AW81:BA81">
    <cfRule type="expression" dxfId="139" priority="1165">
      <formula>#REF! ="N"</formula>
    </cfRule>
  </conditionalFormatting>
  <conditionalFormatting sqref="AW83:BA87">
    <cfRule type="cellIs" dxfId="138" priority="713" operator="equal">
      <formula>"Very Good (2)"</formula>
    </cfRule>
    <cfRule type="cellIs" dxfId="137" priority="712" operator="equal">
      <formula>"Good (1)"</formula>
    </cfRule>
    <cfRule type="cellIs" dxfId="136" priority="711" operator="equal">
      <formula>"Basic (0)"</formula>
    </cfRule>
    <cfRule type="cellIs" dxfId="135" priority="710" operator="equal">
      <formula>"Critical"</formula>
    </cfRule>
  </conditionalFormatting>
  <hyperlinks>
    <hyperlink ref="AQ17" r:id="rId1" display="https://downloads.ctfassets.net/nv7y93idf4jq/H8pRWpuOm0MDiZmjirqtw/aa9ec3471ea3b557007c0bb2c2d9212e/Greater_Manchester_Streets_for_All_Design_Guide_v1.1.pdf" xr:uid="{205B6D43-EDA4-4D0B-A26E-1CDD279BE98B}"/>
    <hyperlink ref="AQ9" r:id="rId2" display="LTN 1/20 appendix B Junction Assessment Tool" xr:uid="{236925B9-70A8-4262-90FD-7DDEDF7718F4}"/>
    <hyperlink ref="AQ31" r:id="rId3" display="LTN 1/20 Guidance on shared use" xr:uid="{0307FF06-32B1-4C91-B152-2B66030AB1F9}"/>
    <hyperlink ref="AQ42" r:id="rId4" display="https://downloads.ctfassets.net/nv7y93idf4jq/H8pRWpuOm0MDiZmjirqtw/aa9ec3471ea3b557007c0bb2c2d9212e/Greater_Manchester_Streets_for_All_Design_Guide_v1.1.pdf" xr:uid="{09AB6ECB-DE3B-4EE6-B76D-D3918F880DD3}"/>
    <hyperlink ref="AQ40" r:id="rId5" display="https://downloads.ctfassets.net/nv7y93idf4jq/H8pRWpuOm0MDiZmjirqtw/aa9ec3471ea3b557007c0bb2c2d9212e/Greater_Manchester_Streets_for_All_Design_Guide_v1.1.pdf" xr:uid="{8CAAE4E3-F9F4-4556-8F42-EACDE29EC20E}"/>
    <hyperlink ref="AQ50" r:id="rId6" display="https://downloads.ctfassets.net/nv7y93idf4jq/H8pRWpuOm0MDiZmjirqtw/aa9ec3471ea3b557007c0bb2c2d9212e/Greater_Manchester_Streets_for_All_Design_Guide_v1.1.pdf" xr:uid="{36A539D0-741E-44A9-A855-33324E14C742}"/>
    <hyperlink ref="AQ61" r:id="rId7" display="Data Hub | Clean Air Greater Manchester" xr:uid="{56945667-385E-49AD-94FF-57BA828B1E63}"/>
    <hyperlink ref="AQ72" r:id="rId8" display="https://downloads.ctfassets.net/nv7y93idf4jq/H8pRWpuOm0MDiZmjirqtw/aa9ec3471ea3b557007c0bb2c2d9212e/Greater_Manchester_Streets_for_All_Design_Guide_v1.1.pdf" xr:uid="{D55BA589-0109-422E-ADE7-CCD03637A7F2}"/>
    <hyperlink ref="AQ76" r:id="rId9" display="https://downloads.ctfassets.net/nv7y93idf4jq/H8pRWpuOm0MDiZmjirqtw/aa9ec3471ea3b557007c0bb2c2d9212e/Greater_Manchester_Streets_for_All_Design_Guide_v1.1.pdf" xr:uid="{4224F892-1782-42CC-88DC-8E139256D0D4}"/>
    <hyperlink ref="AQ83" r:id="rId10" display="LTN 1/20 Guidance on shared use" xr:uid="{D68EE8C3-3FD9-46DF-A48E-E28FE71AC5EF}"/>
    <hyperlink ref="AQ25" r:id="rId11" display="https://downloads.ctfassets.net/nv7y93idf4jq/H8pRWpuOm0MDiZmjirqtw/aa9ec3471ea3b557007c0bb2c2d9212e/Greater_Manchester_Streets_for_All_Design_Guide_v1.1.pdf" xr:uid="{AFAA66B0-AE51-4021-9788-2F41C0B80B67}"/>
    <hyperlink ref="AQ10" r:id="rId12" display="guidance-on-the-use-of-tactile-paving-surfaces.pdf" xr:uid="{B019E29E-4F73-4452-B27C-23521ADF928F}"/>
    <hyperlink ref="AQ38" r:id="rId13" display="https://downloads.ctfassets.net/nv7y93idf4jq/H8pRWpuOm0MDiZmjirqtw/aa9ec3471ea3b557007c0bb2c2d9212e/Greater_Manchester_Streets_for_All_Design_Guide_v1.1.pdf" xr:uid="{D5771B51-66B8-4666-8B6B-F608C86E2D15}"/>
    <hyperlink ref="AQ28" r:id="rId14" display="This is important for all users, but particularly important for visually impaired and neurodivergent people. " xr:uid="{528A3939-7251-45CF-BBCF-A1E26D081F07}"/>
  </hyperlinks>
  <pageMargins left="0.7" right="0.7" top="0.75" bottom="0.75" header="0.3" footer="0.3"/>
  <pageSetup paperSize="8" scale="52" fitToHeight="0" orientation="landscape" r:id="rId15"/>
  <extLst>
    <ext xmlns:x14="http://schemas.microsoft.com/office/spreadsheetml/2009/9/main" uri="{CCE6A557-97BC-4b89-ADB6-D9C93CAAB3DF}">
      <x14:dataValidations xmlns:xm="http://schemas.microsoft.com/office/excel/2006/main" count="7">
        <x14:dataValidation type="list" allowBlank="1" showInputMessage="1" showErrorMessage="1" xr:uid="{52B18FC5-AD88-42B0-8C29-77545EAFD6DA}">
          <x14:formula1>
            <xm:f>Validation!$F$2:$F$6</xm:f>
          </x14:formula1>
          <xm:sqref>O73:P74 O76:P76 O11:P12 O18:P21 O29:P30 O41:P43 O45:P45 O49:P51 O53:P61 O66:P66 O68:P69 O71:P71</xm:sqref>
        </x14:dataValidation>
        <x14:dataValidation type="list" allowBlank="1" showInputMessage="1" showErrorMessage="1" xr:uid="{02D0BF57-72EE-4EFB-82CD-EE3C7C6D1D5A}">
          <x14:formula1>
            <xm:f>Validation!$H$2:$H$6</xm:f>
          </x14:formula1>
          <xm:sqref>O28:P28</xm:sqref>
        </x14:dataValidation>
        <x14:dataValidation type="list" allowBlank="1" showInputMessage="1" showErrorMessage="1" xr:uid="{9CC71ECD-CF83-4883-918F-07940B49FC06}">
          <x14:formula1>
            <xm:f>Validation!$I$2:$I$5</xm:f>
          </x14:formula1>
          <xm:sqref>O27:P27</xm:sqref>
        </x14:dataValidation>
        <x14:dataValidation type="list" allowBlank="1" showInputMessage="1" showErrorMessage="1" xr:uid="{8F00B7C8-5667-4B7B-90B3-27907C9AA3C6}">
          <x14:formula1>
            <xm:f>Validation!$E$2:$E$7</xm:f>
          </x14:formula1>
          <xm:sqref>O52:P52 O40:P40 O44:P44</xm:sqref>
        </x14:dataValidation>
        <x14:dataValidation type="list" allowBlank="1" showInputMessage="1" showErrorMessage="1" xr:uid="{8FE404A7-33CA-4271-919B-ABA14B792ED4}">
          <x14:formula1>
            <xm:f>Validation!$E$2:$E$66</xm:f>
          </x14:formula1>
          <xm:sqref>O35:P39</xm:sqref>
        </x14:dataValidation>
        <x14:dataValidation type="list" allowBlank="1" showInputMessage="1" showErrorMessage="1" xr:uid="{6CFDA1B2-13CB-4030-BC98-1D2D6CF054DA}">
          <x14:formula1>
            <xm:f>Validation!$J$2:$J$6</xm:f>
          </x14:formula1>
          <xm:sqref>O67:P67</xm:sqref>
        </x14:dataValidation>
        <x14:dataValidation type="list" allowBlank="1" showInputMessage="1" showErrorMessage="1" xr:uid="{528B0F8F-4F92-49F5-85FD-BBFBB40E289E}">
          <x14:formula1>
            <xm:f>Validation!$D$2:$D$7</xm:f>
          </x14:formula1>
          <xm:sqref>O8:P10 O16:P17 O25:P26 O31:P31 O72:P72 O75:P75 O78:P79 O83:P87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B0C7-B427-4567-8C2A-9DEF7A25CA42}">
  <sheetPr>
    <tabColor rgb="FFFF7D7D"/>
    <pageSetUpPr autoPageBreaks="0"/>
  </sheetPr>
  <dimension ref="A1:U1048576"/>
  <sheetViews>
    <sheetView zoomScale="55" zoomScaleNormal="55" workbookViewId="0">
      <selection activeCell="K13" sqref="K13:M13"/>
    </sheetView>
  </sheetViews>
  <sheetFormatPr defaultColWidth="0" defaultRowHeight="14.5" zeroHeight="1" x14ac:dyDescent="0.35"/>
  <cols>
    <col min="1" max="1" width="1.453125" style="2" customWidth="1"/>
    <col min="2" max="2" width="1.453125" style="95"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7.08984375" style="2" customWidth="1"/>
    <col min="11" max="12" width="6.1796875" style="2" customWidth="1"/>
    <col min="13" max="13" width="11.7265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c r="B1" s="2"/>
    </row>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C3" s="226" t="s">
        <v>931</v>
      </c>
      <c r="D3" s="96"/>
      <c r="E3" s="96"/>
      <c r="F3" s="96"/>
      <c r="G3" s="96"/>
      <c r="H3" s="96"/>
      <c r="I3" s="96"/>
      <c r="J3" s="96"/>
      <c r="K3" s="96"/>
      <c r="L3" s="96"/>
      <c r="M3" s="96"/>
      <c r="N3" s="96"/>
      <c r="O3" s="96"/>
      <c r="P3" s="96"/>
      <c r="Q3" s="96"/>
      <c r="R3" s="96"/>
      <c r="S3" s="97"/>
      <c r="T3" s="98"/>
    </row>
    <row r="4" spans="2:20" x14ac:dyDescent="0.35">
      <c r="T4" s="98"/>
    </row>
    <row r="5" spans="2:20" ht="17.5" customHeight="1" x14ac:dyDescent="0.35">
      <c r="C5" s="564" t="s">
        <v>933</v>
      </c>
      <c r="D5" s="99"/>
      <c r="E5" s="568" t="s">
        <v>1264</v>
      </c>
      <c r="F5" s="575"/>
      <c r="G5" s="575"/>
      <c r="H5" s="569"/>
      <c r="I5" s="570" t="s">
        <v>1265</v>
      </c>
      <c r="J5" s="572"/>
      <c r="K5" s="572"/>
      <c r="L5" s="572"/>
      <c r="M5" s="571"/>
      <c r="O5" s="564" t="s">
        <v>934</v>
      </c>
      <c r="P5" s="568" t="s">
        <v>1264</v>
      </c>
      <c r="Q5" s="569"/>
      <c r="R5" s="570" t="s">
        <v>1265</v>
      </c>
      <c r="S5" s="571"/>
      <c r="T5" s="98"/>
    </row>
    <row r="6" spans="2:20" ht="17" x14ac:dyDescent="0.35">
      <c r="C6" s="565" t="s">
        <v>293</v>
      </c>
      <c r="D6" s="100"/>
      <c r="E6" s="568" t="s">
        <v>294</v>
      </c>
      <c r="F6" s="569"/>
      <c r="G6" s="555" t="s">
        <v>295</v>
      </c>
      <c r="H6" s="556"/>
      <c r="I6" s="573" t="s">
        <v>294</v>
      </c>
      <c r="J6" s="574"/>
      <c r="K6" s="570" t="s">
        <v>295</v>
      </c>
      <c r="L6" s="572"/>
      <c r="M6" s="571"/>
      <c r="O6" s="565"/>
      <c r="P6" s="101" t="s">
        <v>294</v>
      </c>
      <c r="Q6" s="101" t="s">
        <v>295</v>
      </c>
      <c r="R6" s="102" t="s">
        <v>294</v>
      </c>
      <c r="S6" s="102" t="s">
        <v>295</v>
      </c>
      <c r="T6" s="98"/>
    </row>
    <row r="7" spans="2:20" ht="17" x14ac:dyDescent="0.4">
      <c r="C7" s="103" t="s">
        <v>296</v>
      </c>
      <c r="D7" s="103" t="s">
        <v>297</v>
      </c>
      <c r="E7" s="550" t="str">
        <f>Scoring!$U$88&amp;"/"&amp;Scoring!$W$88</f>
        <v>0/22</v>
      </c>
      <c r="F7" s="551"/>
      <c r="G7" s="555">
        <f>IFERROR(Scoring!$U$88/Scoring!$W$88,"N/A")</f>
        <v>0</v>
      </c>
      <c r="H7" s="556"/>
      <c r="I7" s="550" t="str">
        <f>Scoring!$V$88&amp;"/"&amp;Scoring!$W$88</f>
        <v>0/22</v>
      </c>
      <c r="J7" s="551"/>
      <c r="K7" s="555">
        <f>IFERROR(Scoring!$V$88/Scoring!$W$88,"N/A")</f>
        <v>0</v>
      </c>
      <c r="L7" s="560"/>
      <c r="M7" s="556"/>
      <c r="O7" s="104" t="s">
        <v>1261</v>
      </c>
      <c r="P7" s="105" t="str">
        <f>SUM(Scoring!U88,Scoring!X88,Scoring!AA88,Scoring!AD88,Scoring!AG88,Scoring!AJ88,Scoring!AM88)&amp;"/"&amp;SUM(Scoring!W88,Scoring!Z88,Scoring!AC88,Scoring!AF88,Scoring!AI88,Scoring!AL88,Scoring!AO88)</f>
        <v>0/172</v>
      </c>
      <c r="Q7" s="106">
        <f>SUM(Scoring!U88,Scoring!X88,Scoring!AA88,Scoring!AD88,Scoring!AG88,Scoring!AJ88,Scoring!AM88)/SUM(Scoring!W88,Scoring!Z88,Scoring!AC88,Scoring!AF88,Scoring!AI88,Scoring!AL88,Scoring!AO88)</f>
        <v>0</v>
      </c>
      <c r="R7" s="105" t="str">
        <f>SUM(Scoring!V88,Scoring!Y88,Scoring!AB88,Scoring!AE88,Scoring!AH88,Scoring!AK88,Scoring!AN88)&amp;"/"&amp;SUM(Scoring!W88,Scoring!Z88,Scoring!AC88,Scoring!AF88,Scoring!AI88,Scoring!AL88,Scoring!AO88)</f>
        <v>0/172</v>
      </c>
      <c r="S7" s="106">
        <f>SUM(Scoring!V88,Scoring!Y88,Scoring!AB88,Scoring!AE88,Scoring!AH88,Scoring!AK88,Scoring!AN88)/SUM(Scoring!W88,Scoring!Z88,Scoring!AC88,Scoring!AF88,Scoring!AI88,Scoring!AL88,Scoring!AO88)</f>
        <v>0</v>
      </c>
      <c r="T7" s="98"/>
    </row>
    <row r="8" spans="2:20" ht="17" x14ac:dyDescent="0.4">
      <c r="C8" s="103" t="s">
        <v>299</v>
      </c>
      <c r="D8" s="103" t="s">
        <v>300</v>
      </c>
      <c r="E8" s="550" t="str">
        <f>Scoring!$X$88&amp;"/"&amp;Scoring!$Z$88</f>
        <v>0/50</v>
      </c>
      <c r="F8" s="551"/>
      <c r="G8" s="555">
        <f>IFERROR(Scoring!$X$88/Scoring!$Z$88,"N/A")</f>
        <v>0</v>
      </c>
      <c r="H8" s="556"/>
      <c r="I8" s="550" t="str">
        <f>Scoring!$Y$88&amp;"/"&amp;Scoring!$Z$88</f>
        <v>0/50</v>
      </c>
      <c r="J8" s="551"/>
      <c r="K8" s="555">
        <f>IFERROR(Scoring!$Y$88/Scoring!$Z$88,"N/A")</f>
        <v>0</v>
      </c>
      <c r="L8" s="560"/>
      <c r="M8" s="556"/>
      <c r="O8" s="104" t="s">
        <v>1019</v>
      </c>
      <c r="P8" s="566">
        <f>COUNTIF(Scoring!$AY:$AY,"C")</f>
        <v>0</v>
      </c>
      <c r="Q8" s="567"/>
      <c r="R8" s="566">
        <f>COUNTIF(Scoring!$AZ:$AZ,"C")</f>
        <v>0</v>
      </c>
      <c r="S8" s="567"/>
      <c r="T8" s="98"/>
    </row>
    <row r="9" spans="2:20" ht="17" x14ac:dyDescent="0.4">
      <c r="C9" s="103" t="s">
        <v>301</v>
      </c>
      <c r="D9" s="103" t="s">
        <v>302</v>
      </c>
      <c r="E9" s="550" t="str">
        <f>Scoring!$AA$88&amp;"/"&amp;Scoring!$AC$88</f>
        <v>0/54</v>
      </c>
      <c r="F9" s="551"/>
      <c r="G9" s="555">
        <f>IFERROR(Scoring!$AA$88/Scoring!$AC$88,"N/A")</f>
        <v>0</v>
      </c>
      <c r="H9" s="556"/>
      <c r="I9" s="550" t="str">
        <f>Scoring!$AB$88&amp;"/"&amp;Scoring!$AC$88</f>
        <v>0/54</v>
      </c>
      <c r="J9" s="551"/>
      <c r="K9" s="555">
        <f>IFERROR(Scoring!$AB$88/Scoring!$AC$88,"N/A")</f>
        <v>0</v>
      </c>
      <c r="L9" s="560"/>
      <c r="M9" s="556"/>
      <c r="T9" s="98"/>
    </row>
    <row r="10" spans="2:20" ht="17" x14ac:dyDescent="0.4">
      <c r="C10" s="103" t="s">
        <v>303</v>
      </c>
      <c r="D10" s="103" t="s">
        <v>304</v>
      </c>
      <c r="E10" s="550" t="str">
        <f>Scoring!$AD$88&amp;"/"&amp;Scoring!$AF$88</f>
        <v>0/24</v>
      </c>
      <c r="F10" s="551"/>
      <c r="G10" s="555">
        <f>IFERROR(Scoring!$AD$88/Scoring!$AF$88,"N/A")</f>
        <v>0</v>
      </c>
      <c r="H10" s="556"/>
      <c r="I10" s="550" t="str">
        <f>Scoring!$AE$88&amp;"/"&amp;Scoring!$AF$88</f>
        <v>0/24</v>
      </c>
      <c r="J10" s="551"/>
      <c r="K10" s="555">
        <f>IFERROR(Scoring!$AE$88/Scoring!$AF$88,"N/A")</f>
        <v>0</v>
      </c>
      <c r="L10" s="560"/>
      <c r="M10" s="556"/>
      <c r="T10" s="98"/>
    </row>
    <row r="11" spans="2:20" ht="17" x14ac:dyDescent="0.4">
      <c r="C11" s="103" t="s">
        <v>305</v>
      </c>
      <c r="D11" s="103" t="s">
        <v>306</v>
      </c>
      <c r="E11" s="550" t="str">
        <f>Scoring!$AG$88&amp;"/"&amp;Scoring!$AI$88</f>
        <v>0/4</v>
      </c>
      <c r="F11" s="551"/>
      <c r="G11" s="555">
        <f>IFERROR(Scoring!$AG$88/Scoring!$AI$88,"N/A")</f>
        <v>0</v>
      </c>
      <c r="H11" s="556"/>
      <c r="I11" s="550" t="str">
        <f>Scoring!$AH$88&amp;"/"&amp;Scoring!$AI$88</f>
        <v>0/4</v>
      </c>
      <c r="J11" s="551"/>
      <c r="K11" s="555">
        <f>IFERROR(Scoring!$AH$88/Scoring!$AI$88,"N/A")</f>
        <v>0</v>
      </c>
      <c r="L11" s="560"/>
      <c r="M11" s="556"/>
      <c r="T11" s="98"/>
    </row>
    <row r="12" spans="2:20" ht="17" x14ac:dyDescent="0.4">
      <c r="C12" s="103" t="s">
        <v>307</v>
      </c>
      <c r="D12" s="103" t="s">
        <v>308</v>
      </c>
      <c r="E12" s="550" t="str">
        <f>Scoring!$AJ$88&amp;"/"&amp;Scoring!$AL$88</f>
        <v>0/8</v>
      </c>
      <c r="F12" s="551"/>
      <c r="G12" s="555">
        <f>IFERROR(Scoring!$AJ$88/Scoring!$AL$88,"N/A")</f>
        <v>0</v>
      </c>
      <c r="H12" s="556"/>
      <c r="I12" s="550" t="str">
        <f>Scoring!$AK$88&amp;"/"&amp;Scoring!$AL$88</f>
        <v>0/8</v>
      </c>
      <c r="J12" s="551"/>
      <c r="K12" s="555">
        <f>IFERROR(Scoring!$AK$88/Scoring!$AL$88,"N/A")</f>
        <v>0</v>
      </c>
      <c r="L12" s="560"/>
      <c r="M12" s="556"/>
      <c r="T12" s="98"/>
    </row>
    <row r="13" spans="2:20" ht="17" x14ac:dyDescent="0.4">
      <c r="C13" s="103" t="s">
        <v>309</v>
      </c>
      <c r="D13" s="103" t="s">
        <v>310</v>
      </c>
      <c r="E13" s="550" t="str">
        <f>Scoring!$AM$88&amp;"/"&amp;Scoring!$AO$88</f>
        <v>0/10</v>
      </c>
      <c r="F13" s="551"/>
      <c r="G13" s="555">
        <f>IFERROR(Scoring!$AM$88/Scoring!$AO$88,"N/A")</f>
        <v>0</v>
      </c>
      <c r="H13" s="556"/>
      <c r="I13" s="550" t="str">
        <f>Scoring!$AN$88&amp;"/"&amp;Scoring!$AO$88</f>
        <v>0/10</v>
      </c>
      <c r="J13" s="551"/>
      <c r="K13" s="555">
        <f>IFERROR(Scoring!$AN$88/Scoring!$AO$88,"N/A")</f>
        <v>0</v>
      </c>
      <c r="L13" s="560"/>
      <c r="M13" s="556"/>
      <c r="N13" s="107"/>
      <c r="T13" s="98"/>
    </row>
    <row r="14" spans="2:20" x14ac:dyDescent="0.35">
      <c r="T14" s="98"/>
    </row>
    <row r="15" spans="2:20" ht="17" customHeight="1" x14ac:dyDescent="0.35">
      <c r="C15" s="579" t="s">
        <v>946</v>
      </c>
      <c r="D15" s="580"/>
      <c r="E15" s="581"/>
      <c r="F15" s="590" t="s">
        <v>313</v>
      </c>
      <c r="G15" s="590"/>
      <c r="H15" s="590"/>
      <c r="I15" s="590"/>
      <c r="J15" s="589"/>
      <c r="K15" s="593" t="s">
        <v>294</v>
      </c>
      <c r="L15" s="535"/>
      <c r="M15" s="535" t="s">
        <v>295</v>
      </c>
      <c r="T15" s="98"/>
    </row>
    <row r="16" spans="2:20" ht="41" customHeight="1" x14ac:dyDescent="0.35">
      <c r="C16" s="582"/>
      <c r="D16" s="583"/>
      <c r="E16" s="584"/>
      <c r="F16" s="447" t="s">
        <v>543</v>
      </c>
      <c r="G16" s="109" t="s">
        <v>314</v>
      </c>
      <c r="H16" s="588" t="s">
        <v>315</v>
      </c>
      <c r="I16" s="589"/>
      <c r="J16" s="445" t="s">
        <v>316</v>
      </c>
      <c r="K16" s="594"/>
      <c r="L16" s="536"/>
      <c r="M16" s="536"/>
      <c r="T16" s="98"/>
    </row>
    <row r="17" spans="3:20" ht="17" x14ac:dyDescent="0.4">
      <c r="C17" s="585"/>
      <c r="D17" s="586"/>
      <c r="E17" s="587"/>
      <c r="F17" s="113" t="s">
        <v>20</v>
      </c>
      <c r="G17" s="446">
        <v>0</v>
      </c>
      <c r="H17" s="591">
        <v>1</v>
      </c>
      <c r="I17" s="592"/>
      <c r="J17" s="446">
        <v>2</v>
      </c>
      <c r="K17" s="595"/>
      <c r="L17" s="537"/>
      <c r="M17" s="537"/>
      <c r="T17" s="98"/>
    </row>
    <row r="18" spans="3:20" ht="17" x14ac:dyDescent="0.35">
      <c r="C18" s="557" t="s">
        <v>1264</v>
      </c>
      <c r="D18" s="558"/>
      <c r="E18" s="558"/>
      <c r="F18" s="558"/>
      <c r="G18" s="558"/>
      <c r="H18" s="558"/>
      <c r="I18" s="558"/>
      <c r="J18" s="558"/>
      <c r="K18" s="558"/>
      <c r="L18" s="558"/>
      <c r="M18" s="559"/>
      <c r="T18" s="98"/>
    </row>
    <row r="19" spans="3:20" ht="17" x14ac:dyDescent="0.4">
      <c r="C19" s="552" t="str">
        <f>Validation!$S2</f>
        <v xml:space="preserve">Group 1. Junctions </v>
      </c>
      <c r="D19" s="553"/>
      <c r="E19" s="554"/>
      <c r="F19" s="444">
        <f>COUNTIFS(Scoring!$C:$C,Results!$C19,Scoring!$O:$O,Results!F$17,Scoring!$Q:$Q,"&lt;&gt;NA")</f>
        <v>0</v>
      </c>
      <c r="G19" s="444">
        <f>COUNTIFS(Scoring!$C:$C,Results!$C19,Scoring!$O:$O,Results!G$17,Scoring!$Q:$Q,"&lt;&gt;NA")</f>
        <v>0</v>
      </c>
      <c r="H19" s="538">
        <f>COUNTIFS(Scoring!$C:$C,Results!$C19,Scoring!$O:$O,Results!H$17,Scoring!$Q:$Q,"&lt;&gt;NA")</f>
        <v>0</v>
      </c>
      <c r="I19" s="539"/>
      <c r="J19" s="444">
        <f>COUNTIFS(Scoring!$C:$C,Results!$C19,Scoring!$O:$O,Results!J$17,Scoring!$Q:$Q,"&lt;&gt;NA")</f>
        <v>0</v>
      </c>
      <c r="K19" s="540" t="str">
        <f>VLOOKUP($C19,Scoring!$G$8:$T$88,11,FALSE) &amp; "/" &amp;  VLOOKUP($C19,Scoring!$G$7:$T$88,12,FALSE)</f>
        <v>0/10</v>
      </c>
      <c r="L19" s="541"/>
      <c r="M19" s="443">
        <f>IFERROR(VLOOKUP($C19,Scoring!$G:$T,11,0)/VLOOKUP($C19,Scoring!$G:$T,12,0),"N/A")</f>
        <v>0</v>
      </c>
      <c r="T19" s="98"/>
    </row>
    <row r="20" spans="3:20" ht="17" x14ac:dyDescent="0.4">
      <c r="C20" s="552" t="str">
        <f>Validation!$S3</f>
        <v xml:space="preserve">Group 2. Pedestrian crossings (junction and mid-link) </v>
      </c>
      <c r="D20" s="553"/>
      <c r="E20" s="554"/>
      <c r="F20" s="444">
        <f>COUNTIFS(Scoring!$C:$C,Results!$C20,Scoring!$O:$O,Results!F$17,Scoring!$Q:$Q,"&lt;&gt;NA")</f>
        <v>0</v>
      </c>
      <c r="G20" s="444">
        <f>COUNTIFS(Scoring!$C:$C,Results!$C20,Scoring!$O:$O,Results!G$17,Scoring!$Q:$Q,"&lt;&gt;NA")</f>
        <v>0</v>
      </c>
      <c r="H20" s="538">
        <f>COUNTIFS(Scoring!$C:$C,Results!$C20,Scoring!$O:$O,Results!H$17,Scoring!$Q:$Q,"&lt;&gt;NA")</f>
        <v>0</v>
      </c>
      <c r="I20" s="539"/>
      <c r="J20" s="444">
        <f>COUNTIFS(Scoring!$C:$C,Results!$C20,Scoring!$O:$O,Results!J$17,Scoring!$Q:$Q,"&lt;&gt;NA")</f>
        <v>0</v>
      </c>
      <c r="K20" s="540" t="str">
        <f>VLOOKUP($C20,Scoring!$G$8:$T$88,11,FALSE) &amp; "/" &amp;  VLOOKUP($C20,Scoring!$G$7:$T$88,12,FALSE)</f>
        <v>0/12</v>
      </c>
      <c r="L20" s="541"/>
      <c r="M20" s="443">
        <f>IFERROR(VLOOKUP($C20,Scoring!$G:$T,11,0)/VLOOKUP($C20,Scoring!$G:$T,12,0),"N/A")</f>
        <v>0</v>
      </c>
      <c r="T20" s="98"/>
    </row>
    <row r="21" spans="3:20" ht="17" x14ac:dyDescent="0.4">
      <c r="C21" s="552" t="str">
        <f>Validation!$S4</f>
        <v xml:space="preserve">Group 3. Footway (incl. shared use) </v>
      </c>
      <c r="D21" s="553"/>
      <c r="E21" s="554"/>
      <c r="F21" s="117">
        <f>COUNTIFS(Scoring!$C:$C,Results!$C21,Scoring!$O:$O,Results!F$17,Scoring!$Q:$Q,"&lt;&gt;NA")</f>
        <v>0</v>
      </c>
      <c r="G21" s="117">
        <f>COUNTIFS(Scoring!$C:$C,Results!$C21,Scoring!$O:$O,Results!G$17,Scoring!$Q:$Q,"&lt;&gt;NA")</f>
        <v>0</v>
      </c>
      <c r="H21" s="538">
        <f>COUNTIFS(Scoring!$C:$C,Results!$C21,Scoring!$O:$O,Results!H$17,Scoring!$Q:$Q,"&lt;&gt;NA")</f>
        <v>0</v>
      </c>
      <c r="I21" s="539"/>
      <c r="J21" s="444">
        <f>COUNTIFS(Scoring!$C:$C,Results!$C21,Scoring!$O:$O,Results!J$17,Scoring!$Q:$Q,"&lt;&gt;NA")</f>
        <v>0</v>
      </c>
      <c r="K21" s="540" t="str">
        <f>VLOOKUP($C21,Scoring!$G$8:$T$88,11,FALSE) &amp; "/" &amp;  VLOOKUP($C21,Scoring!$G$7:$T$88,12,FALSE)</f>
        <v>0/14</v>
      </c>
      <c r="L21" s="541"/>
      <c r="M21" s="118">
        <f>IFERROR(VLOOKUP($C21,Scoring!$G:$T,11,0)/VLOOKUP($C21,Scoring!$G:$T,12,0),"N/A")</f>
        <v>0</v>
      </c>
      <c r="T21" s="98"/>
    </row>
    <row r="22" spans="3:20" ht="17" x14ac:dyDescent="0.4">
      <c r="C22" s="552" t="str">
        <f>Validation!$S5</f>
        <v xml:space="preserve">Group 4. Cycling provision </v>
      </c>
      <c r="D22" s="553"/>
      <c r="E22" s="554"/>
      <c r="F22" s="117">
        <f>COUNTIFS(Scoring!$C:$C,Results!$C22,Scoring!$O:$O,Results!F$17,Scoring!$Q:$Q,"&lt;&gt;NA")</f>
        <v>0</v>
      </c>
      <c r="G22" s="117">
        <f>COUNTIFS(Scoring!$C:$C,Results!$C22,Scoring!$O:$O,Results!G$17,Scoring!$Q:$Q,"&lt;&gt;NA")</f>
        <v>0</v>
      </c>
      <c r="H22" s="538">
        <f>COUNTIFS(Scoring!$C:$C,Results!$C22,Scoring!$O:$O,Results!H$17,Scoring!$Q:$Q,"&lt;&gt;NA")</f>
        <v>0</v>
      </c>
      <c r="I22" s="539"/>
      <c r="J22" s="444">
        <f>COUNTIFS(Scoring!$C:$C,Results!$C22,Scoring!$O:$O,Results!J$17,Scoring!$Q:$Q,"&lt;&gt;NA")</f>
        <v>0</v>
      </c>
      <c r="K22" s="540" t="str">
        <f>VLOOKUP($C22,Scoring!$G$8:$T$88,11,FALSE) &amp; "/" &amp;  VLOOKUP($C22,Scoring!$G$7:$T$88,12,FALSE)</f>
        <v>0/22</v>
      </c>
      <c r="L22" s="541"/>
      <c r="M22" s="118">
        <f>IFERROR(VLOOKUP($C22,Scoring!$G:$T,11,0)/VLOOKUP($C22,Scoring!$G:$T,12,0),"N/A")</f>
        <v>0</v>
      </c>
      <c r="T22" s="98"/>
    </row>
    <row r="23" spans="3:20" ht="17" x14ac:dyDescent="0.4">
      <c r="C23" s="552" t="str">
        <f>Validation!$S6</f>
        <v xml:space="preserve">Group 5. Street environment and design </v>
      </c>
      <c r="D23" s="553"/>
      <c r="E23" s="554"/>
      <c r="F23" s="117">
        <f>COUNTIFS(Scoring!$C:$C,Results!$C23,Scoring!$O:$O,Results!F$17,Scoring!$Q:$Q,"&lt;&gt;NA")</f>
        <v>0</v>
      </c>
      <c r="G23" s="117">
        <f>COUNTIFS(Scoring!$C:$C,Results!$C23,Scoring!$O:$O,Results!G$17,Scoring!$Q:$Q,"&lt;&gt;NA")</f>
        <v>0</v>
      </c>
      <c r="H23" s="538">
        <f>COUNTIFS(Scoring!$C:$C,Results!$C23,Scoring!$O:$O,Results!H$17,Scoring!$Q:$Q,"&lt;&gt;NA")</f>
        <v>0</v>
      </c>
      <c r="I23" s="539"/>
      <c r="J23" s="444">
        <f>COUNTIFS(Scoring!$C:$C,Results!$C23,Scoring!$O:$O,Results!J$17,Scoring!$Q:$Q,"&lt;&gt;NA")</f>
        <v>0</v>
      </c>
      <c r="K23" s="540" t="str">
        <f>VLOOKUP($C23,Scoring!$G$8:$T$88,11,FALSE) &amp; "/" &amp;  VLOOKUP($C23,Scoring!$G$7:$T$88,12,FALSE)</f>
        <v>0/26</v>
      </c>
      <c r="L23" s="541"/>
      <c r="M23" s="118">
        <f>IFERROR(VLOOKUP($C23,Scoring!$G:$T,11,0)/VLOOKUP($C23,Scoring!$G:$T,12,0),"N/A")</f>
        <v>0</v>
      </c>
      <c r="T23" s="98"/>
    </row>
    <row r="24" spans="3:20" ht="17" x14ac:dyDescent="0.4">
      <c r="C24" s="552" t="str">
        <f>Validation!$S7</f>
        <v xml:space="preserve">Group 6. Public transport </v>
      </c>
      <c r="D24" s="553"/>
      <c r="E24" s="554"/>
      <c r="F24" s="117">
        <f>COUNTIFS(Scoring!$C:$C,Results!$C24,Scoring!$O:$O,Results!F$17,Scoring!$Q:$Q,"&lt;&gt;NA")</f>
        <v>0</v>
      </c>
      <c r="G24" s="117">
        <f>COUNTIFS(Scoring!$C:$C,Results!$C24,Scoring!$O:$O,Results!G$17,Scoring!$Q:$Q,"&lt;&gt;NA")</f>
        <v>0</v>
      </c>
      <c r="H24" s="538">
        <f>COUNTIFS(Scoring!$C:$C,Results!$C24,Scoring!$O:$O,Results!H$17,Scoring!$Q:$Q,"&lt;&gt;NA")</f>
        <v>0</v>
      </c>
      <c r="I24" s="539"/>
      <c r="J24" s="444">
        <f>COUNTIFS(Scoring!$C:$C,Results!$C24,Scoring!$O:$O,Results!J$17,Scoring!$Q:$Q,"&lt;&gt;NA")</f>
        <v>0</v>
      </c>
      <c r="K24" s="540" t="str">
        <f>VLOOKUP($C24,Scoring!$G$8:$T$88,11,FALSE) &amp; "/" &amp;  VLOOKUP($C24,Scoring!$G$7:$T$88,12,FALSE)</f>
        <v>0/24</v>
      </c>
      <c r="L24" s="541"/>
      <c r="M24" s="118">
        <f>IFERROR(VLOOKUP($C24,Scoring!$G:$T,11,0)/VLOOKUP($C24,Scoring!$G:$T,12,0),"N/A")</f>
        <v>0</v>
      </c>
      <c r="T24" s="98"/>
    </row>
    <row r="25" spans="3:20" ht="17" x14ac:dyDescent="0.4">
      <c r="C25" s="552" t="str">
        <f>Validation!$S8</f>
        <v xml:space="preserve">Group 7. Off-Street </v>
      </c>
      <c r="D25" s="553"/>
      <c r="E25" s="554"/>
      <c r="F25" s="117">
        <f>COUNTIFS(Scoring!$C:$C,Results!$C25,Scoring!$O:$O,Results!F$17,Scoring!$Q:$Q,"&lt;&gt;NA")</f>
        <v>0</v>
      </c>
      <c r="G25" s="117">
        <f>COUNTIFS(Scoring!$C:$C,Results!$C25,Scoring!$O:$O,Results!G$17,Scoring!$Q:$Q,"&lt;&gt;NA")</f>
        <v>0</v>
      </c>
      <c r="H25" s="538">
        <f>COUNTIFS(Scoring!$C:$C,Results!$C25,Scoring!$O:$O,Results!H$17,Scoring!$Q:$Q,"&lt;&gt;NA")</f>
        <v>0</v>
      </c>
      <c r="I25" s="539"/>
      <c r="J25" s="444">
        <f>COUNTIFS(Scoring!$C:$C,Results!$C25,Scoring!$O:$O,Results!J$17,Scoring!$Q:$Q,"&lt;&gt;NA")</f>
        <v>0</v>
      </c>
      <c r="K25" s="540" t="str">
        <f>VLOOKUP($C25,Scoring!$G$8:$T$88,11,FALSE) &amp; "/" &amp;  VLOOKUP($C25,Scoring!$G$7:$T$88,12,FALSE)</f>
        <v>0/0</v>
      </c>
      <c r="L25" s="541"/>
      <c r="M25" s="118" t="str">
        <f>IFERROR(VLOOKUP($C25,Scoring!$G:$T,11,0)/VLOOKUP($C25,Scoring!$G:$T,12,0),"N/A")</f>
        <v>N/A</v>
      </c>
      <c r="T25" s="98"/>
    </row>
    <row r="26" spans="3:20" ht="17" customHeight="1" x14ac:dyDescent="0.35">
      <c r="C26" s="561" t="s">
        <v>1263</v>
      </c>
      <c r="D26" s="562"/>
      <c r="E26" s="562"/>
      <c r="F26" s="562"/>
      <c r="G26" s="562"/>
      <c r="H26" s="562"/>
      <c r="I26" s="562"/>
      <c r="J26" s="562"/>
      <c r="K26" s="562"/>
      <c r="L26" s="562"/>
      <c r="M26" s="563"/>
      <c r="T26" s="98"/>
    </row>
    <row r="27" spans="3:20" ht="17" x14ac:dyDescent="0.4">
      <c r="C27" s="552" t="str">
        <f>Validation!$S2</f>
        <v xml:space="preserve">Group 1. Junctions </v>
      </c>
      <c r="D27" s="553"/>
      <c r="E27" s="554"/>
      <c r="F27" s="444">
        <f>COUNTIFS(Scoring!$C:$C,Results!$C27,Scoring!$P:$P,Results!F$17,Scoring!$Q:$Q,"&lt;&gt;NA")</f>
        <v>0</v>
      </c>
      <c r="G27" s="444">
        <f>COUNTIFS(Scoring!$C:$C,Results!$C27,Scoring!$P:$P,Results!G$17,Scoring!$Q:$Q,"&lt;&gt;NA")</f>
        <v>0</v>
      </c>
      <c r="H27" s="538">
        <f>COUNTIFS(Scoring!$C:$C,Results!$C27,Scoring!$P:$P,Results!H$17,Scoring!$Q:$Q,"&lt;&gt;NA")</f>
        <v>0</v>
      </c>
      <c r="I27" s="539"/>
      <c r="J27" s="444">
        <f>COUNTIFS(Scoring!$C:$C,Results!$C27,Scoring!$P:$P,Results!J$17,Scoring!$Q:$Q,"&lt;&gt;NA")</f>
        <v>0</v>
      </c>
      <c r="K27" s="540" t="str">
        <f>VLOOKUP($C27,Scoring!$G$8:$T$88,13,FALSE) &amp; "/" &amp;  VLOOKUP($C27,Scoring!$G$7:$T$88,14,FALSE)</f>
        <v>0/10</v>
      </c>
      <c r="L27" s="541"/>
      <c r="M27" s="443">
        <f>IFERROR(VLOOKUP($C27,Scoring!$G:$T,13,0)/VLOOKUP($C27,Scoring!$G:$T,14,0),"N/A")</f>
        <v>0</v>
      </c>
      <c r="T27" s="98"/>
    </row>
    <row r="28" spans="3:20" ht="17" x14ac:dyDescent="0.4">
      <c r="C28" s="552" t="str">
        <f>Validation!$S3</f>
        <v xml:space="preserve">Group 2. Pedestrian crossings (junction and mid-link) </v>
      </c>
      <c r="D28" s="553"/>
      <c r="E28" s="554"/>
      <c r="F28" s="122">
        <f>COUNTIFS(Scoring!$C:$C,Results!$C28,Scoring!$P:$P,Results!F$17,Scoring!$Q:$Q,"&lt;&gt;NA")</f>
        <v>0</v>
      </c>
      <c r="G28" s="122">
        <f>COUNTIFS(Scoring!$C:$C,Results!$C28,Scoring!$P:$P,Results!G$17,Scoring!$Q:$Q,"&lt;&gt;NA")</f>
        <v>0</v>
      </c>
      <c r="H28" s="538">
        <f>COUNTIFS(Scoring!$C:$C,Results!$C28,Scoring!$P:$P,Results!H$17,Scoring!$Q:$Q,"&lt;&gt;NA")</f>
        <v>0</v>
      </c>
      <c r="I28" s="539"/>
      <c r="J28" s="444">
        <f>COUNTIFS(Scoring!$C:$C,Results!$C28,Scoring!$P:$P,Results!J$17,Scoring!$Q:$Q,"&lt;&gt;NA")</f>
        <v>0</v>
      </c>
      <c r="K28" s="540" t="str">
        <f>VLOOKUP($C28,Scoring!$G$8:$T$88,13,FALSE) &amp; "/" &amp;  VLOOKUP($C28,Scoring!$G$7:$T$88,14,FALSE)</f>
        <v>0/12</v>
      </c>
      <c r="L28" s="541"/>
      <c r="M28" s="443">
        <f>IFERROR(VLOOKUP($C28,Scoring!$G:$T,13,0)/VLOOKUP($C28,Scoring!$G:$T,14,0),"N/A")</f>
        <v>0</v>
      </c>
      <c r="T28" s="98"/>
    </row>
    <row r="29" spans="3:20" ht="17" x14ac:dyDescent="0.4">
      <c r="C29" s="552" t="str">
        <f>Validation!$S4</f>
        <v xml:space="preserve">Group 3. Footway (incl. shared use) </v>
      </c>
      <c r="D29" s="553"/>
      <c r="E29" s="554"/>
      <c r="F29" s="122">
        <f>COUNTIFS(Scoring!$C:$C,Results!$C29,Scoring!$P:$P,Results!F$17,Scoring!$Q:$Q,"&lt;&gt;NA")</f>
        <v>0</v>
      </c>
      <c r="G29" s="122">
        <f>COUNTIFS(Scoring!$C:$C,Results!$C29,Scoring!$P:$P,Results!G$17,Scoring!$Q:$Q,"&lt;&gt;NA")</f>
        <v>0</v>
      </c>
      <c r="H29" s="538">
        <f>COUNTIFS(Scoring!$C:$C,Results!$C29,Scoring!$P:$P,Results!H$17,Scoring!$Q:$Q,"&lt;&gt;NA")</f>
        <v>0</v>
      </c>
      <c r="I29" s="539"/>
      <c r="J29" s="444">
        <f>COUNTIFS(Scoring!$C:$C,Results!$C29,Scoring!$P:$P,Results!J$17,Scoring!$Q:$Q,"&lt;&gt;NA")</f>
        <v>0</v>
      </c>
      <c r="K29" s="540" t="str">
        <f>VLOOKUP($C29,Scoring!$G$8:$T$88,13,FALSE) &amp; "/" &amp;  VLOOKUP($C29,Scoring!$G$7:$T$88,14,FALSE)</f>
        <v>0/14</v>
      </c>
      <c r="L29" s="541"/>
      <c r="M29" s="443">
        <f>IFERROR(VLOOKUP($C29,Scoring!$G:$T,13,0)/VLOOKUP($C29,Scoring!$G:$T,14,0),"N/A")</f>
        <v>0</v>
      </c>
      <c r="T29" s="98"/>
    </row>
    <row r="30" spans="3:20" ht="17" x14ac:dyDescent="0.4">
      <c r="C30" s="552" t="str">
        <f>Validation!$S5</f>
        <v xml:space="preserve">Group 4. Cycling provision </v>
      </c>
      <c r="D30" s="553"/>
      <c r="E30" s="554"/>
      <c r="F30" s="122">
        <f>COUNTIFS(Scoring!$C:$C,Results!$C30,Scoring!$P:$P,Results!F$17,Scoring!$Q:$Q,"&lt;&gt;NA")</f>
        <v>0</v>
      </c>
      <c r="G30" s="122">
        <f>COUNTIFS(Scoring!$C:$C,Results!$C30,Scoring!$P:$P,Results!G$17,Scoring!$Q:$Q,"&lt;&gt;NA")</f>
        <v>0</v>
      </c>
      <c r="H30" s="538">
        <f>COUNTIFS(Scoring!$C:$C,Results!$C30,Scoring!$P:$P,Results!H$17,Scoring!$Q:$Q,"&lt;&gt;NA")</f>
        <v>0</v>
      </c>
      <c r="I30" s="539"/>
      <c r="J30" s="444">
        <f>COUNTIFS(Scoring!$C:$C,Results!$C30,Scoring!$P:$P,Results!J$17,Scoring!$Q:$Q,"&lt;&gt;NA")</f>
        <v>0</v>
      </c>
      <c r="K30" s="540" t="str">
        <f>VLOOKUP($C30,Scoring!$G$8:$T$88,13,FALSE) &amp; "/" &amp;  VLOOKUP($C30,Scoring!$G$7:$T$88,14,FALSE)</f>
        <v>0/22</v>
      </c>
      <c r="L30" s="541"/>
      <c r="M30" s="443">
        <f>IFERROR(VLOOKUP($C30,Scoring!$G:$T,13,0)/VLOOKUP($C30,Scoring!$G:$T,14,0),"N/A")</f>
        <v>0</v>
      </c>
      <c r="T30" s="98"/>
    </row>
    <row r="31" spans="3:20" ht="17" x14ac:dyDescent="0.4">
      <c r="C31" s="552" t="str">
        <f>Validation!$S6</f>
        <v xml:space="preserve">Group 5. Street environment and design </v>
      </c>
      <c r="D31" s="553"/>
      <c r="E31" s="554"/>
      <c r="F31" s="122">
        <f>COUNTIFS(Scoring!$C:$C,Results!$C31,Scoring!$P:$P,Results!F$17,Scoring!$Q:$Q,"&lt;&gt;NA")</f>
        <v>0</v>
      </c>
      <c r="G31" s="122">
        <f>COUNTIFS(Scoring!$C:$C,Results!$C31,Scoring!$P:$P,Results!G$17,Scoring!$Q:$Q,"&lt;&gt;NA")</f>
        <v>0</v>
      </c>
      <c r="H31" s="538">
        <f>COUNTIFS(Scoring!$C:$C,Results!$C31,Scoring!$P:$P,Results!H$17,Scoring!$Q:$Q,"&lt;&gt;NA")</f>
        <v>0</v>
      </c>
      <c r="I31" s="539"/>
      <c r="J31" s="444">
        <f>COUNTIFS(Scoring!$C:$C,Results!$C31,Scoring!$P:$P,Results!J$17,Scoring!$Q:$Q,"&lt;&gt;NA")</f>
        <v>0</v>
      </c>
      <c r="K31" s="540" t="str">
        <f>VLOOKUP($C31,Scoring!$G$8:$T$88,13,FALSE) &amp; "/" &amp;  VLOOKUP($C31,Scoring!$G$7:$T$88,14,FALSE)</f>
        <v>0/26</v>
      </c>
      <c r="L31" s="541"/>
      <c r="M31" s="443">
        <f>IFERROR(VLOOKUP($C31,Scoring!$G:$T,13,0)/VLOOKUP($C31,Scoring!$G:$T,14,0),"N/A")</f>
        <v>0</v>
      </c>
      <c r="T31" s="98"/>
    </row>
    <row r="32" spans="3:20" ht="17" x14ac:dyDescent="0.4">
      <c r="C32" s="552" t="str">
        <f>Validation!$S7</f>
        <v xml:space="preserve">Group 6. Public transport </v>
      </c>
      <c r="D32" s="553"/>
      <c r="E32" s="554"/>
      <c r="F32" s="122">
        <f>COUNTIFS(Scoring!$C:$C,Results!$C32,Scoring!$P:$P,Results!F$17,Scoring!$Q:$Q,"&lt;&gt;NA")</f>
        <v>0</v>
      </c>
      <c r="G32" s="122">
        <f>COUNTIFS(Scoring!$C:$C,Results!$C32,Scoring!$P:$P,Results!G$17,Scoring!$Q:$Q,"&lt;&gt;NA")</f>
        <v>0</v>
      </c>
      <c r="H32" s="538">
        <f>COUNTIFS(Scoring!$C:$C,Results!$C32,Scoring!$P:$P,Results!H$17,Scoring!$Q:$Q,"&lt;&gt;NA")</f>
        <v>0</v>
      </c>
      <c r="I32" s="539"/>
      <c r="J32" s="444">
        <f>COUNTIFS(Scoring!$C:$C,Results!$C32,Scoring!$P:$P,Results!J$17,Scoring!$Q:$Q,"&lt;&gt;NA")</f>
        <v>0</v>
      </c>
      <c r="K32" s="540" t="str">
        <f>VLOOKUP($C32,Scoring!$G$8:$T$88,13,FALSE) &amp; "/" &amp;  VLOOKUP($C32,Scoring!$G$7:$T$88,14,FALSE)</f>
        <v>0/24</v>
      </c>
      <c r="L32" s="541"/>
      <c r="M32" s="443">
        <f>IFERROR(VLOOKUP($C32,Scoring!$G:$T,13,0)/VLOOKUP($C32,Scoring!$G:$T,14,0),"N/A")</f>
        <v>0</v>
      </c>
      <c r="T32" s="98"/>
    </row>
    <row r="33" spans="3:20" ht="17" x14ac:dyDescent="0.4">
      <c r="C33" s="552" t="str">
        <f>Validation!$S8</f>
        <v xml:space="preserve">Group 7. Off-Street </v>
      </c>
      <c r="D33" s="553"/>
      <c r="E33" s="554"/>
      <c r="F33" s="122">
        <f>COUNTIFS(Scoring!$C:$C,Results!$C33,Scoring!$P:$P,Results!F$17,Scoring!$Q:$Q,"&lt;&gt;NA")</f>
        <v>0</v>
      </c>
      <c r="G33" s="122">
        <f>COUNTIFS(Scoring!$C:$C,Results!$C33,Scoring!$P:$P,Results!G$17,Scoring!$Q:$Q,"&lt;&gt;NA")</f>
        <v>0</v>
      </c>
      <c r="H33" s="538">
        <f>COUNTIFS(Scoring!$C:$C,Results!$C33,Scoring!$P:$P,Results!H$17,Scoring!$Q:$Q,"&lt;&gt;NA")</f>
        <v>0</v>
      </c>
      <c r="I33" s="539"/>
      <c r="J33" s="444">
        <f>COUNTIFS(Scoring!$C:$C,Results!$C33,Scoring!$P:$P,Results!J$17,Scoring!$Q:$Q,"&lt;&gt;NA")</f>
        <v>0</v>
      </c>
      <c r="K33" s="540" t="str">
        <f>VLOOKUP($C33,Scoring!$G$8:$T$88,13,FALSE) &amp; "/" &amp;  VLOOKUP($C33,Scoring!$G$7:$T$88,14,FALSE)</f>
        <v>0/0</v>
      </c>
      <c r="L33" s="541"/>
      <c r="M33" s="443" t="str">
        <f>IFERROR(VLOOKUP($C33,Scoring!$G:$T,12,0)/VLOOKUP($C33,Scoring!$G:$T,13,0),"N/A")</f>
        <v>N/A</v>
      </c>
      <c r="T33" s="98"/>
    </row>
    <row r="34" spans="3:20" x14ac:dyDescent="0.35">
      <c r="T34" s="98"/>
    </row>
    <row r="35" spans="3:20" ht="17" x14ac:dyDescent="0.4">
      <c r="C35" s="547" t="s">
        <v>1262</v>
      </c>
      <c r="D35" s="548"/>
      <c r="E35" s="548"/>
      <c r="F35" s="548"/>
      <c r="G35" s="548"/>
      <c r="H35" s="548"/>
      <c r="I35" s="548"/>
      <c r="J35" s="548"/>
      <c r="K35" s="548"/>
      <c r="L35" s="548"/>
      <c r="M35" s="549"/>
      <c r="N35" s="124"/>
      <c r="T35" s="98"/>
    </row>
    <row r="36" spans="3:20" ht="17.5" customHeight="1" x14ac:dyDescent="0.4">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3:20" ht="17.149999999999999" customHeight="1" x14ac:dyDescent="0.4">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3:20" ht="17.149999999999999" customHeight="1" x14ac:dyDescent="0.4">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3:20" ht="17.149999999999999" customHeight="1" x14ac:dyDescent="0.4">
      <c r="C39" s="543" t="str">
        <f>Validation!$L5</f>
        <v>6. Distance between formal crossing points considering PCU's a day</v>
      </c>
      <c r="D39" s="544"/>
      <c r="E39" s="545"/>
      <c r="F39" s="543" t="str">
        <f>Validation!$N5</f>
        <v>33. Uniformity and quality of street lighting and its impact on users</v>
      </c>
      <c r="G39" s="544"/>
      <c r="H39" s="544"/>
      <c r="I39" s="544"/>
      <c r="J39" s="544"/>
      <c r="K39" s="544"/>
      <c r="L39" s="544"/>
      <c r="M39" s="545"/>
      <c r="N39" s="125"/>
      <c r="T39" s="98"/>
    </row>
    <row r="40" spans="3:20" ht="17.149999999999999" customHeight="1" x14ac:dyDescent="0.4">
      <c r="C40" s="543" t="str">
        <f>Validation!$L6</f>
        <v>7. Type of crossing facility appropriate for street context</v>
      </c>
      <c r="D40" s="544"/>
      <c r="E40" s="545"/>
      <c r="F40" s="543" t="str">
        <f>Validation!$N6</f>
        <v>44. Street to platform/boarding point step free access</v>
      </c>
      <c r="G40" s="544"/>
      <c r="H40" s="544"/>
      <c r="I40" s="544"/>
      <c r="J40" s="544"/>
      <c r="K40" s="544"/>
      <c r="L40" s="544"/>
      <c r="M40" s="545"/>
      <c r="N40" s="125"/>
      <c r="T40" s="98"/>
    </row>
    <row r="41" spans="3:20" ht="17.149999999999999" customHeight="1" x14ac:dyDescent="0.4">
      <c r="C41" s="543" t="str">
        <f>Validation!$L7</f>
        <v>12. Clear pedestrian routes that maintain minimum unobstructed width throughout</v>
      </c>
      <c r="D41" s="544"/>
      <c r="E41" s="545"/>
      <c r="F41" s="543" t="str">
        <f>Validation!$N7</f>
        <v>48. Degree to which bus stop zone is universally accessible for people using the stop and people passing by</v>
      </c>
      <c r="G41" s="544"/>
      <c r="H41" s="544"/>
      <c r="I41" s="544"/>
      <c r="J41" s="544"/>
      <c r="K41" s="544"/>
      <c r="L41" s="544"/>
      <c r="M41" s="545"/>
      <c r="N41" s="125"/>
      <c r="T41" s="98"/>
    </row>
    <row r="42" spans="3:20" ht="38.15" customHeight="1" x14ac:dyDescent="0.4">
      <c r="C42" s="576" t="str">
        <f>Validation!$L8</f>
        <v>13. Trip hazards and surface quality</v>
      </c>
      <c r="D42" s="577"/>
      <c r="E42" s="578"/>
      <c r="F42" s="543" t="str">
        <f>Validation!$N8</f>
        <v>51. Perception of safety at stop</v>
      </c>
      <c r="G42" s="544"/>
      <c r="H42" s="544"/>
      <c r="I42" s="544"/>
      <c r="J42" s="544"/>
      <c r="K42" s="544"/>
      <c r="L42" s="544"/>
      <c r="M42" s="545"/>
      <c r="N42" s="125"/>
      <c r="T42" s="98"/>
    </row>
    <row r="43" spans="3:20" ht="17.149999999999999" customHeight="1" x14ac:dyDescent="0.4">
      <c r="C43" s="543" t="str">
        <f>Validation!$L9</f>
        <v>14. Gradient over a specified distance</v>
      </c>
      <c r="D43" s="544"/>
      <c r="E43" s="545"/>
      <c r="F43" s="543" t="str">
        <f>Validation!$N9</f>
        <v>53. Effective width next to a tramline on straight or curved section</v>
      </c>
      <c r="G43" s="544"/>
      <c r="H43" s="544"/>
      <c r="I43" s="544"/>
      <c r="J43" s="544"/>
      <c r="K43" s="544"/>
      <c r="L43" s="544"/>
      <c r="M43" s="545"/>
      <c r="N43" s="125"/>
      <c r="T43" s="98"/>
    </row>
    <row r="44" spans="3:20" ht="17.149999999999999" customHeight="1" x14ac:dyDescent="0.4">
      <c r="C44" s="543" t="str">
        <f>Validation!$L10</f>
        <v>15. Legibility and tonal contrast of surfacing</v>
      </c>
      <c r="D44" s="544"/>
      <c r="E44" s="545"/>
      <c r="F44" s="543" t="str">
        <f>Validation!$N10</f>
        <v>54. Crossing angle</v>
      </c>
      <c r="G44" s="544"/>
      <c r="H44" s="544"/>
      <c r="I44" s="544"/>
      <c r="J44" s="544"/>
      <c r="K44" s="544"/>
      <c r="L44" s="544"/>
      <c r="M44" s="545"/>
      <c r="N44" s="125"/>
      <c r="T44" s="98"/>
    </row>
    <row r="45" spans="3:20" ht="17.149999999999999" customHeight="1" x14ac:dyDescent="0.4">
      <c r="C45" s="543" t="str">
        <f>Validation!$L11</f>
        <v>18. Appropriateness and width of shared use with cycles</v>
      </c>
      <c r="D45" s="544"/>
      <c r="E45" s="545"/>
      <c r="F45" s="543" t="str">
        <f>Validation!$N11</f>
        <v>55. Width of shared use path</v>
      </c>
      <c r="G45" s="544"/>
      <c r="H45" s="544"/>
      <c r="I45" s="544"/>
      <c r="J45" s="544"/>
      <c r="K45" s="544"/>
      <c r="L45" s="544"/>
      <c r="M45" s="545"/>
      <c r="N45" s="125"/>
      <c r="T45" s="98"/>
    </row>
    <row r="46" spans="3:20" ht="17.149999999999999" customHeight="1" x14ac:dyDescent="0.4">
      <c r="C46" s="543" t="str">
        <f>Validation!$L12</f>
        <v>19. Speed at which drivers travel</v>
      </c>
      <c r="D46" s="544"/>
      <c r="E46" s="545"/>
      <c r="F46" s="543" t="str">
        <f>Validation!$N12</f>
        <v>56. Degree to which access controls are universally accessible</v>
      </c>
      <c r="G46" s="544"/>
      <c r="H46" s="544"/>
      <c r="I46" s="544"/>
      <c r="J46" s="544"/>
      <c r="K46" s="544"/>
      <c r="L46" s="544"/>
      <c r="M46" s="545"/>
      <c r="N46" s="125"/>
      <c r="T46" s="98"/>
    </row>
    <row r="47" spans="3:20" ht="17.149999999999999" customHeight="1" x14ac:dyDescent="0.4">
      <c r="C47" s="543" t="str">
        <f>Validation!$L13</f>
        <v>20. Total volume of traffic (PCU's)</v>
      </c>
      <c r="D47" s="544"/>
      <c r="E47" s="545"/>
      <c r="F47" s="543" t="str">
        <f>Validation!$N13</f>
        <v>57. Surface/construction type</v>
      </c>
      <c r="G47" s="544"/>
      <c r="H47" s="544"/>
      <c r="I47" s="544"/>
      <c r="J47" s="544"/>
      <c r="K47" s="544"/>
      <c r="L47" s="544"/>
      <c r="M47" s="545"/>
      <c r="N47" s="125"/>
      <c r="T47" s="98"/>
    </row>
    <row r="48" spans="3:20" ht="17.149999999999999" customHeight="1" x14ac:dyDescent="0.4">
      <c r="C48" s="543" t="str">
        <f>Validation!$L14</f>
        <v>21. Percentage of large vehicles in peak hour</v>
      </c>
      <c r="D48" s="544"/>
      <c r="E48" s="545"/>
      <c r="F48" s="543" t="str">
        <f>Validation!$N14</f>
        <v>58. Standard of lighting</v>
      </c>
      <c r="G48" s="544"/>
      <c r="H48" s="544"/>
      <c r="I48" s="544"/>
      <c r="J48" s="544"/>
      <c r="K48" s="544"/>
      <c r="L48" s="544"/>
      <c r="M48" s="545"/>
      <c r="N48" s="125"/>
      <c r="T48" s="98"/>
    </row>
    <row r="49" spans="3:20" ht="17.149999999999999" customHeight="1" x14ac:dyDescent="0.4">
      <c r="C49" s="543" t="str">
        <f>Validation!$L15</f>
        <v>22. Clear nearside space in secondary position or motor vehicle volume in primary position</v>
      </c>
      <c r="D49" s="544"/>
      <c r="E49" s="545"/>
      <c r="F49" s="543" t="str">
        <f>Validation!$N15</f>
        <v>59. Existing steps or new/upgraded structures</v>
      </c>
      <c r="G49" s="544"/>
      <c r="H49" s="544"/>
      <c r="I49" s="544"/>
      <c r="J49" s="544"/>
      <c r="K49" s="544"/>
      <c r="L49" s="544"/>
      <c r="M49" s="545"/>
      <c r="N49" s="125"/>
      <c r="T49" s="98"/>
    </row>
    <row r="50" spans="3:20" ht="17" hidden="1" x14ac:dyDescent="0.4">
      <c r="C50" s="161"/>
      <c r="D50" s="161"/>
      <c r="E50" s="161"/>
      <c r="F50" s="161"/>
      <c r="G50" s="161"/>
      <c r="H50" s="161"/>
      <c r="I50" s="161"/>
      <c r="J50" s="161"/>
      <c r="K50" s="161"/>
      <c r="L50" s="161"/>
      <c r="M50" s="161"/>
      <c r="N50" s="125"/>
      <c r="T50" s="98"/>
    </row>
    <row r="51" spans="3:20" ht="17" hidden="1" x14ac:dyDescent="0.4">
      <c r="C51" s="161"/>
      <c r="D51" s="161"/>
      <c r="E51" s="161"/>
      <c r="F51" s="161"/>
      <c r="G51" s="161"/>
      <c r="H51" s="161"/>
      <c r="I51" s="161"/>
      <c r="J51" s="161"/>
      <c r="K51" s="161"/>
      <c r="L51" s="161"/>
      <c r="M51" s="161"/>
      <c r="N51" s="125"/>
      <c r="T51" s="98"/>
    </row>
    <row r="52" spans="3:20" ht="17" hidden="1" x14ac:dyDescent="0.4">
      <c r="C52" s="546"/>
      <c r="D52" s="546"/>
      <c r="E52" s="546"/>
      <c r="F52" s="546"/>
      <c r="G52" s="546"/>
      <c r="H52" s="546"/>
      <c r="I52" s="546"/>
      <c r="J52" s="546"/>
      <c r="K52" s="546"/>
      <c r="L52" s="546"/>
      <c r="M52" s="546"/>
      <c r="N52" s="125"/>
      <c r="T52" s="98"/>
    </row>
    <row r="53" spans="3:20" ht="17" hidden="1" x14ac:dyDescent="0.4">
      <c r="C53" s="542"/>
      <c r="D53" s="542"/>
      <c r="E53" s="542"/>
      <c r="F53" s="542"/>
      <c r="G53" s="542"/>
      <c r="H53" s="542"/>
      <c r="I53" s="542"/>
      <c r="J53" s="542"/>
      <c r="K53" s="542"/>
      <c r="L53" s="542"/>
      <c r="M53" s="542"/>
      <c r="N53" s="125"/>
      <c r="T53" s="98"/>
    </row>
    <row r="54" spans="3:20" ht="17" hidden="1" x14ac:dyDescent="0.4">
      <c r="C54" s="542"/>
      <c r="D54" s="542"/>
      <c r="E54" s="542"/>
      <c r="F54" s="542"/>
      <c r="G54" s="542"/>
      <c r="H54" s="542"/>
      <c r="I54" s="542"/>
      <c r="J54" s="542"/>
      <c r="K54" s="542"/>
      <c r="L54" s="542"/>
      <c r="M54" s="542"/>
      <c r="N54" s="125"/>
      <c r="T54" s="98"/>
    </row>
    <row r="55" spans="3:20" ht="17" hidden="1" x14ac:dyDescent="0.4">
      <c r="C55" s="542"/>
      <c r="D55" s="542"/>
      <c r="E55" s="542"/>
      <c r="F55" s="542"/>
      <c r="G55" s="542"/>
      <c r="H55" s="542"/>
      <c r="I55" s="542"/>
      <c r="J55" s="542"/>
      <c r="K55" s="542"/>
      <c r="L55" s="542"/>
      <c r="M55" s="542"/>
      <c r="N55" s="125"/>
      <c r="T55" s="98"/>
    </row>
    <row r="56" spans="3:20" ht="17" hidden="1" x14ac:dyDescent="0.4">
      <c r="C56" s="542"/>
      <c r="D56" s="542"/>
      <c r="E56" s="542"/>
      <c r="F56" s="542"/>
      <c r="G56" s="542"/>
      <c r="H56" s="542"/>
      <c r="I56" s="542"/>
      <c r="J56" s="542"/>
      <c r="K56" s="542"/>
      <c r="L56" s="542"/>
      <c r="M56" s="542"/>
      <c r="N56" s="125"/>
      <c r="T56" s="98"/>
    </row>
    <row r="57" spans="3:20" ht="17" hidden="1" x14ac:dyDescent="0.4">
      <c r="C57" s="542"/>
      <c r="D57" s="542"/>
      <c r="E57" s="542"/>
      <c r="F57" s="542"/>
      <c r="G57" s="542"/>
      <c r="H57" s="542"/>
      <c r="I57" s="542"/>
      <c r="J57" s="542"/>
      <c r="K57" s="542"/>
      <c r="L57" s="542"/>
      <c r="M57" s="542"/>
      <c r="N57" s="125"/>
      <c r="T57" s="98"/>
    </row>
    <row r="58" spans="3:20" ht="17" hidden="1" x14ac:dyDescent="0.4">
      <c r="C58" s="542"/>
      <c r="D58" s="542"/>
      <c r="E58" s="542"/>
      <c r="F58" s="542"/>
      <c r="G58" s="542"/>
      <c r="H58" s="542"/>
      <c r="I58" s="542"/>
      <c r="J58" s="542"/>
      <c r="K58" s="542"/>
      <c r="L58" s="542"/>
      <c r="M58" s="542"/>
      <c r="N58" s="125"/>
      <c r="T58" s="98"/>
    </row>
    <row r="59" spans="3:20" ht="17" hidden="1" x14ac:dyDescent="0.4">
      <c r="C59" s="542"/>
      <c r="D59" s="542"/>
      <c r="E59" s="542"/>
      <c r="F59" s="542"/>
      <c r="G59" s="542"/>
      <c r="H59" s="542"/>
      <c r="I59" s="542"/>
      <c r="J59" s="542"/>
      <c r="K59" s="542"/>
      <c r="L59" s="542"/>
      <c r="M59" s="542"/>
      <c r="N59" s="125"/>
      <c r="T59" s="98"/>
    </row>
    <row r="60" spans="3:20" ht="15" hidden="1" thickBot="1" x14ac:dyDescent="0.4">
      <c r="C60" s="127"/>
      <c r="D60" s="127"/>
      <c r="E60" s="127"/>
      <c r="F60" s="127"/>
      <c r="G60" s="127"/>
      <c r="H60" s="127"/>
      <c r="I60" s="127"/>
      <c r="J60" s="127"/>
      <c r="K60" s="127"/>
      <c r="L60" s="127"/>
      <c r="M60" s="127"/>
      <c r="N60" s="127"/>
      <c r="O60" s="127"/>
      <c r="P60" s="127"/>
      <c r="Q60" s="127"/>
      <c r="R60" s="127"/>
      <c r="S60" s="127"/>
      <c r="T60" s="128"/>
    </row>
    <row r="62" spans="3:20" ht="9.65" hidden="1" customHeight="1" x14ac:dyDescent="0.35"/>
    <row r="1048575" spans="2:20" ht="15" thickBot="1" x14ac:dyDescent="0.4">
      <c r="B1048575" s="126"/>
      <c r="C1048575" s="127"/>
      <c r="D1048575" s="127"/>
      <c r="E1048575" s="127"/>
      <c r="F1048575" s="127"/>
      <c r="G1048575" s="127"/>
      <c r="H1048575" s="127"/>
      <c r="I1048575" s="127"/>
      <c r="J1048575" s="127"/>
      <c r="K1048575" s="127"/>
      <c r="L1048575" s="127"/>
      <c r="M1048575" s="127"/>
      <c r="N1048575" s="127"/>
      <c r="O1048575" s="127"/>
      <c r="P1048575" s="127"/>
      <c r="Q1048575" s="127"/>
      <c r="R1048575" s="127"/>
      <c r="S1048575" s="127"/>
      <c r="T1048575" s="128"/>
    </row>
    <row r="1048576" spans="2:20" ht="10" customHeight="1" x14ac:dyDescent="0.35">
      <c r="B1048576" s="2"/>
    </row>
  </sheetData>
  <sheetProtection algorithmName="SHA-512" hashValue="rWqyLMjXyW/SdE47j0LI46/cp0TAwPOTqLcj25m6wm9Klx5dCWjxdNwzqbrs05Fw1YRufpu7ujD85pv3hWUNCA==" saltValue="p1rdmW36HZaC31GQr3WEyA==" spinCount="100000" sheet="1" objects="1" scenarios="1"/>
  <mergeCells count="127">
    <mergeCell ref="H29:I29"/>
    <mergeCell ref="H30:I30"/>
    <mergeCell ref="H31:I31"/>
    <mergeCell ref="C24:E24"/>
    <mergeCell ref="C25:E25"/>
    <mergeCell ref="K19:L19"/>
    <mergeCell ref="K20:L20"/>
    <mergeCell ref="K23:L23"/>
    <mergeCell ref="C15:E17"/>
    <mergeCell ref="H16:I16"/>
    <mergeCell ref="F15:J15"/>
    <mergeCell ref="H17:I17"/>
    <mergeCell ref="K15:L17"/>
    <mergeCell ref="C19:E19"/>
    <mergeCell ref="H22:I22"/>
    <mergeCell ref="H23:I23"/>
    <mergeCell ref="H24:I24"/>
    <mergeCell ref="C48:E48"/>
    <mergeCell ref="F48:M48"/>
    <mergeCell ref="F44:M44"/>
    <mergeCell ref="F43:M43"/>
    <mergeCell ref="F42:M42"/>
    <mergeCell ref="F41:M41"/>
    <mergeCell ref="F45:M45"/>
    <mergeCell ref="F39:M39"/>
    <mergeCell ref="F38:M38"/>
    <mergeCell ref="F46:M46"/>
    <mergeCell ref="C46:E46"/>
    <mergeCell ref="C39:E39"/>
    <mergeCell ref="C44:E44"/>
    <mergeCell ref="C45:E45"/>
    <mergeCell ref="C41:E41"/>
    <mergeCell ref="C42:E42"/>
    <mergeCell ref="C43:E43"/>
    <mergeCell ref="C40:E40"/>
    <mergeCell ref="C5:C6"/>
    <mergeCell ref="P8:Q8"/>
    <mergeCell ref="R8:S8"/>
    <mergeCell ref="P5:Q5"/>
    <mergeCell ref="R5:S5"/>
    <mergeCell ref="E6:F6"/>
    <mergeCell ref="E7:F7"/>
    <mergeCell ref="E8:F8"/>
    <mergeCell ref="O5:O6"/>
    <mergeCell ref="I5:M5"/>
    <mergeCell ref="I6:J6"/>
    <mergeCell ref="I7:J7"/>
    <mergeCell ref="I8:J8"/>
    <mergeCell ref="K6:M6"/>
    <mergeCell ref="K7:M7"/>
    <mergeCell ref="K8:M8"/>
    <mergeCell ref="G6:H6"/>
    <mergeCell ref="E5:H5"/>
    <mergeCell ref="G7:H7"/>
    <mergeCell ref="G8:H8"/>
    <mergeCell ref="F36:M36"/>
    <mergeCell ref="F37:M37"/>
    <mergeCell ref="G13:H13"/>
    <mergeCell ref="E13:F13"/>
    <mergeCell ref="F47:M47"/>
    <mergeCell ref="E10:F10"/>
    <mergeCell ref="C18:M18"/>
    <mergeCell ref="I9:J9"/>
    <mergeCell ref="K9:M9"/>
    <mergeCell ref="K10:M10"/>
    <mergeCell ref="K11:M11"/>
    <mergeCell ref="K12:M12"/>
    <mergeCell ref="K13:M13"/>
    <mergeCell ref="H32:I32"/>
    <mergeCell ref="C26:M26"/>
    <mergeCell ref="C27:E27"/>
    <mergeCell ref="C28:E28"/>
    <mergeCell ref="C29:E29"/>
    <mergeCell ref="C30:E30"/>
    <mergeCell ref="C31:E31"/>
    <mergeCell ref="K25:L25"/>
    <mergeCell ref="K27:L27"/>
    <mergeCell ref="K28:L28"/>
    <mergeCell ref="K29:L29"/>
    <mergeCell ref="I10:J10"/>
    <mergeCell ref="I11:J11"/>
    <mergeCell ref="C33:E33"/>
    <mergeCell ref="K24:L24"/>
    <mergeCell ref="G9:H9"/>
    <mergeCell ref="G10:H10"/>
    <mergeCell ref="G11:H11"/>
    <mergeCell ref="G12:H12"/>
    <mergeCell ref="C20:E20"/>
    <mergeCell ref="C21:E21"/>
    <mergeCell ref="C32:E32"/>
    <mergeCell ref="K21:L21"/>
    <mergeCell ref="K22:L22"/>
    <mergeCell ref="I12:J12"/>
    <mergeCell ref="I13:J13"/>
    <mergeCell ref="E12:F12"/>
    <mergeCell ref="E11:F11"/>
    <mergeCell ref="C22:E22"/>
    <mergeCell ref="C23:E23"/>
    <mergeCell ref="E9:F9"/>
    <mergeCell ref="K30:L30"/>
    <mergeCell ref="H25:I25"/>
    <mergeCell ref="H27:I27"/>
    <mergeCell ref="H28:I28"/>
    <mergeCell ref="M15:M17"/>
    <mergeCell ref="H33:I33"/>
    <mergeCell ref="K31:L31"/>
    <mergeCell ref="K32:L32"/>
    <mergeCell ref="K33:L33"/>
    <mergeCell ref="H19:I19"/>
    <mergeCell ref="H20:I20"/>
    <mergeCell ref="H21:I21"/>
    <mergeCell ref="C59:M59"/>
    <mergeCell ref="C49:E49"/>
    <mergeCell ref="F49:M49"/>
    <mergeCell ref="C52:M52"/>
    <mergeCell ref="C53:M53"/>
    <mergeCell ref="C54:M54"/>
    <mergeCell ref="C55:M55"/>
    <mergeCell ref="C56:M56"/>
    <mergeCell ref="C57:M57"/>
    <mergeCell ref="C58:M58"/>
    <mergeCell ref="C47:E47"/>
    <mergeCell ref="C35:M35"/>
    <mergeCell ref="C36:E36"/>
    <mergeCell ref="C37:E37"/>
    <mergeCell ref="C38:E38"/>
    <mergeCell ref="F40:M4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65" id="{99DFE018-3506-486F-864B-B1DE28EFED0A}">
            <xm:f>INDEX(Scoring!S:S,MATCH(C36,Scoring!$BA:$BA,0))="C"</xm:f>
            <x14:dxf>
              <font>
                <b/>
                <i val="0"/>
                <color rgb="FFC00000"/>
              </font>
              <fill>
                <patternFill patternType="none">
                  <bgColor auto="1"/>
                </patternFill>
              </fill>
            </x14:dxf>
          </x14:cfRule>
          <xm:sqref>C36:C51</xm:sqref>
        </x14:conditionalFormatting>
        <x14:conditionalFormatting xmlns:xm="http://schemas.microsoft.com/office/excel/2006/main">
          <x14:cfRule type="expression" priority="11" id="{35D52196-8195-4DF1-B96F-F9FF38C7FCC2}">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66" id="{E3C1DEE9-8CB0-424E-B8C8-BCCE6470C942}">
            <xm:f>INDEX(Scoring!S:S,MATCH(F36,Scoring!$BA:$BA,0))="C"</xm:f>
            <x14:dxf>
              <font>
                <b/>
                <i val="0"/>
                <color rgb="FFC00000"/>
              </font>
            </x14:dxf>
          </x14:cfRule>
          <xm:sqref>F36:F49 F51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6FCE-110F-4823-A903-7E53E2C29C59}">
  <sheetPr>
    <tabColor rgb="FFFF7D7D"/>
    <pageSetUpPr autoPageBreaks="0"/>
  </sheetPr>
  <dimension ref="A1:U62"/>
  <sheetViews>
    <sheetView workbookViewId="0"/>
  </sheetViews>
  <sheetFormatPr defaultColWidth="0" defaultRowHeight="14.5" customHeight="1" zeroHeight="1" x14ac:dyDescent="0.35"/>
  <cols>
    <col min="1" max="2" width="1.453125" style="2" customWidth="1"/>
    <col min="3" max="3" width="81.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4" width="1.81640625" style="2" customWidth="1"/>
    <col min="15" max="15" width="35.81640625" style="2" customWidth="1"/>
    <col min="16" max="19" width="20.54296875" style="2" customWidth="1"/>
    <col min="20" max="21" width="1.453125" style="2" customWidth="1"/>
    <col min="22" max="16384" width="9.1796875" style="2" hidden="1"/>
  </cols>
  <sheetData>
    <row r="1" spans="2:20" ht="8.15" customHeight="1" thickBot="1" x14ac:dyDescent="0.4"/>
    <row r="2" spans="2:20" ht="8.5" customHeight="1" x14ac:dyDescent="0.35">
      <c r="B2" s="92"/>
      <c r="C2" s="93"/>
      <c r="D2" s="93"/>
      <c r="E2" s="93"/>
      <c r="F2" s="93"/>
      <c r="G2" s="93"/>
      <c r="H2" s="93"/>
      <c r="I2" s="93"/>
      <c r="J2" s="93"/>
      <c r="K2" s="93"/>
      <c r="L2" s="93"/>
      <c r="M2" s="93"/>
      <c r="N2" s="93"/>
      <c r="O2" s="93"/>
      <c r="P2" s="93"/>
      <c r="Q2" s="93"/>
      <c r="R2" s="93"/>
      <c r="S2" s="93"/>
      <c r="T2" s="94"/>
    </row>
    <row r="3" spans="2:20" ht="55.4" customHeight="1" x14ac:dyDescent="0.35">
      <c r="B3" s="95"/>
      <c r="C3" s="226" t="s">
        <v>720</v>
      </c>
      <c r="D3" s="96"/>
      <c r="E3" s="96"/>
      <c r="F3" s="96"/>
      <c r="G3" s="96"/>
      <c r="H3" s="96"/>
      <c r="I3" s="96"/>
      <c r="J3" s="96"/>
      <c r="K3" s="96"/>
      <c r="L3" s="96"/>
      <c r="M3" s="96"/>
      <c r="N3" s="96"/>
      <c r="O3" s="96"/>
      <c r="P3" s="96"/>
      <c r="Q3" s="96"/>
      <c r="R3" s="96"/>
      <c r="S3" s="97"/>
      <c r="T3" s="98"/>
    </row>
    <row r="4" spans="2:20" ht="8.5" customHeight="1" x14ac:dyDescent="0.35">
      <c r="B4" s="95"/>
      <c r="T4" s="98"/>
    </row>
    <row r="5" spans="2:20" ht="17.5" customHeight="1" x14ac:dyDescent="0.35">
      <c r="B5" s="95"/>
      <c r="C5" s="564" t="s">
        <v>716</v>
      </c>
      <c r="D5" s="99"/>
      <c r="E5" s="568" t="s">
        <v>290</v>
      </c>
      <c r="F5" s="575"/>
      <c r="G5" s="575"/>
      <c r="H5" s="569"/>
      <c r="I5" s="570" t="s">
        <v>291</v>
      </c>
      <c r="J5" s="572"/>
      <c r="K5" s="572"/>
      <c r="L5" s="572"/>
      <c r="M5" s="571"/>
      <c r="O5" s="564" t="s">
        <v>292</v>
      </c>
      <c r="P5" s="568" t="s">
        <v>290</v>
      </c>
      <c r="Q5" s="569"/>
      <c r="R5" s="570" t="s">
        <v>291</v>
      </c>
      <c r="S5" s="571"/>
      <c r="T5" s="98"/>
    </row>
    <row r="6" spans="2:20" ht="17.5" customHeight="1" x14ac:dyDescent="0.35">
      <c r="B6" s="95"/>
      <c r="C6" s="565" t="s">
        <v>293</v>
      </c>
      <c r="D6" s="100"/>
      <c r="E6" s="596" t="s">
        <v>294</v>
      </c>
      <c r="F6" s="597"/>
      <c r="G6" s="555" t="s">
        <v>295</v>
      </c>
      <c r="H6" s="556"/>
      <c r="I6" s="573" t="s">
        <v>294</v>
      </c>
      <c r="J6" s="574"/>
      <c r="K6" s="570" t="s">
        <v>295</v>
      </c>
      <c r="L6" s="572"/>
      <c r="M6" s="571"/>
      <c r="O6" s="565"/>
      <c r="P6" s="101" t="s">
        <v>294</v>
      </c>
      <c r="Q6" s="101" t="s">
        <v>295</v>
      </c>
      <c r="R6" s="102" t="s">
        <v>294</v>
      </c>
      <c r="S6" s="102" t="s">
        <v>295</v>
      </c>
      <c r="T6" s="98"/>
    </row>
    <row r="7" spans="2:20" ht="17" x14ac:dyDescent="0.4">
      <c r="B7" s="95"/>
      <c r="C7" s="103" t="s">
        <v>725</v>
      </c>
      <c r="D7" s="103" t="s">
        <v>297</v>
      </c>
      <c r="E7" s="550" t="e">
        <f>'Scoring (health)'!$U$89&amp;"/"&amp;'Scoring (health)'!$W$89</f>
        <v>#N/A</v>
      </c>
      <c r="F7" s="551"/>
      <c r="G7" s="555" t="str">
        <f>IFERROR('Scoring (health)'!$U$89/'Scoring (health)'!$W$89,"N/A")</f>
        <v>N/A</v>
      </c>
      <c r="H7" s="556"/>
      <c r="I7" s="550" t="e">
        <f>'Scoring (health)'!$V$89&amp;"/"&amp;'Scoring (health)'!$W$89</f>
        <v>#N/A</v>
      </c>
      <c r="J7" s="551"/>
      <c r="K7" s="555" t="str">
        <f>IFERROR('Scoring (health)'!$V$89/'Scoring (health)'!$W$89,"N/A")</f>
        <v>N/A</v>
      </c>
      <c r="L7" s="560"/>
      <c r="M7" s="556"/>
      <c r="O7" s="104" t="s">
        <v>298</v>
      </c>
      <c r="P7" s="105" t="e">
        <f>SUM('Scoring (health)'!U89,'Scoring (health)'!X89,'Scoring (health)'!AA89,'Scoring (health)'!AD89,'Scoring (health)'!AG89,'Scoring (health)'!AJ89,'Scoring (health)'!AM89)&amp;"/"&amp;SUM('Scoring (health)'!W89,'Scoring (health)'!Z89,'Scoring (health)'!AC89,'Scoring (health)'!AF89,'Scoring (health)'!AI89,'Scoring (health)'!AL89,'Scoring (health)'!AO89)</f>
        <v>#N/A</v>
      </c>
      <c r="Q7" s="106" t="e">
        <f>SUM('Scoring (health)'!U89,'Scoring (health)'!X89,'Scoring (health)'!AA89,'Scoring (health)'!AD89,'Scoring (health)'!AG89,'Scoring (health)'!AJ89,'Scoring (health)'!AM89)/SUM('Scoring (health)'!W89,'Scoring (health)'!Z89,'Scoring (health)'!AC89,'Scoring (health)'!AF89,'Scoring (health)'!AI89,'Scoring (health)'!AL89,'Scoring (health)'!AO89)</f>
        <v>#N/A</v>
      </c>
      <c r="R7" s="105" t="e">
        <f>SUM('Scoring (health)'!V89,'Scoring (health)'!Y89,'Scoring (health)'!AB89,'Scoring (health)'!AE89,'Scoring (health)'!AH89,'Scoring (health)'!AK89,'Scoring (health)'!AN89)&amp;"/"&amp;SUM('Scoring (health)'!W89,'Scoring (health)'!Z89,'Scoring (health)'!AC89,'Scoring (health)'!AF89,'Scoring (health)'!AI89,'Scoring (health)'!AL89,'Scoring (health)'!AO89)</f>
        <v>#N/A</v>
      </c>
      <c r="S7" s="106" t="e">
        <f>SUM('Scoring (health)'!V89,'Scoring (health)'!Y89,'Scoring (health)'!AB89,'Scoring (health)'!AE89,'Scoring (health)'!AH89,'Scoring (health)'!AK89,'Scoring (health)'!AN89)/SUM('Scoring (health)'!W89,'Scoring (health)'!Z89,'Scoring (health)'!AC89,'Scoring (health)'!AF89,'Scoring (health)'!AI89,'Scoring (health)'!AL89,'Scoring (health)'!AO89)</f>
        <v>#N/A</v>
      </c>
      <c r="T7" s="98"/>
    </row>
    <row r="8" spans="2:20" ht="17" x14ac:dyDescent="0.4">
      <c r="B8" s="95"/>
      <c r="C8" s="103" t="s">
        <v>801</v>
      </c>
      <c r="D8" s="103" t="s">
        <v>300</v>
      </c>
      <c r="E8" s="550" t="e">
        <f>'Scoring (health)'!$X$89&amp;"/"&amp;'Scoring (health)'!$Z$89</f>
        <v>#N/A</v>
      </c>
      <c r="F8" s="551"/>
      <c r="G8" s="555" t="str">
        <f>IFERROR('Scoring (health)'!$X$89/'Scoring (health)'!$Z$89,"N/A")</f>
        <v>N/A</v>
      </c>
      <c r="H8" s="556"/>
      <c r="I8" s="550" t="e">
        <f>'Scoring (health)'!$Y$89&amp;"/"&amp;'Scoring (health)'!$Z$89</f>
        <v>#N/A</v>
      </c>
      <c r="J8" s="551"/>
      <c r="K8" s="555" t="str">
        <f>IFERROR('Scoring (health)'!$Y$89/'Scoring (health)'!$Z$89,"N/A")</f>
        <v>N/A</v>
      </c>
      <c r="L8" s="560"/>
      <c r="M8" s="556"/>
      <c r="O8" s="104" t="s">
        <v>451</v>
      </c>
      <c r="P8" s="566">
        <f>COUNTIFS('Scoring (health)'!$BT:$BT,"Amber",'Scoring (health)'!$BV:$BV,0)</f>
        <v>8</v>
      </c>
      <c r="Q8" s="567"/>
      <c r="R8" s="566">
        <f>COUNTIFS('Scoring (health)'!$BT:$BT,"Amber",'Scoring (health)'!$BW:$BW,0)</f>
        <v>8</v>
      </c>
      <c r="S8" s="567"/>
      <c r="T8" s="98"/>
    </row>
    <row r="9" spans="2:20" ht="17" x14ac:dyDescent="0.4">
      <c r="B9" s="95"/>
      <c r="C9" s="103" t="s">
        <v>798</v>
      </c>
      <c r="D9" s="103" t="s">
        <v>302</v>
      </c>
      <c r="E9" s="550" t="e">
        <f>'Scoring (health)'!$AA$89&amp;"/"&amp;'Scoring (health)'!$AC$89</f>
        <v>#N/A</v>
      </c>
      <c r="F9" s="551"/>
      <c r="G9" s="555" t="str">
        <f>IFERROR('Scoring (health)'!$AA$89/'Scoring (health)'!$AC$89,"N/A")</f>
        <v>N/A</v>
      </c>
      <c r="H9" s="556"/>
      <c r="I9" s="550" t="e">
        <f>'Scoring (health)'!$AB$89&amp;"/"&amp;'Scoring (health)'!$AC$89</f>
        <v>#N/A</v>
      </c>
      <c r="J9" s="551"/>
      <c r="K9" s="555" t="str">
        <f>IFERROR('Scoring (health)'!$AB$89/'Scoring (health)'!$AC$89,"N/A")</f>
        <v>N/A</v>
      </c>
      <c r="L9" s="560"/>
      <c r="M9" s="556"/>
      <c r="O9" s="104" t="s">
        <v>571</v>
      </c>
      <c r="P9" s="566">
        <f>COUNTIF('Scoring (health)'!$BV:$BV,"A")</f>
        <v>0</v>
      </c>
      <c r="Q9" s="567"/>
      <c r="R9" s="566">
        <f>COUNTIF('Scoring (health)'!$BW:$BW,"A")</f>
        <v>0</v>
      </c>
      <c r="S9" s="567"/>
      <c r="T9" s="98"/>
    </row>
    <row r="10" spans="2:20" ht="17" x14ac:dyDescent="0.4">
      <c r="B10" s="95"/>
      <c r="C10" s="103" t="s">
        <v>799</v>
      </c>
      <c r="D10" s="103" t="s">
        <v>304</v>
      </c>
      <c r="E10" s="550" t="e">
        <f>'Scoring (health)'!$AD$89&amp;"/"&amp;'Scoring (health)'!$AF$89</f>
        <v>#N/A</v>
      </c>
      <c r="F10" s="551"/>
      <c r="G10" s="555" t="str">
        <f>IFERROR('Scoring (health)'!$AD$89/'Scoring (health)'!$AF$89,"N/A")</f>
        <v>N/A</v>
      </c>
      <c r="H10" s="556"/>
      <c r="I10" s="550" t="e">
        <f>'Scoring (health)'!$AE$89&amp;"/"&amp;'Scoring (health)'!$AF$89</f>
        <v>#N/A</v>
      </c>
      <c r="J10" s="551"/>
      <c r="K10" s="555" t="str">
        <f>IFERROR('Scoring (health)'!$AE$89/'Scoring (health)'!$AF$89,"N/A")</f>
        <v>N/A</v>
      </c>
      <c r="L10" s="560"/>
      <c r="M10" s="556"/>
      <c r="T10" s="98"/>
    </row>
    <row r="11" spans="2:20" ht="17" x14ac:dyDescent="0.4">
      <c r="B11" s="95"/>
      <c r="C11" s="103" t="s">
        <v>728</v>
      </c>
      <c r="D11" s="103" t="s">
        <v>306</v>
      </c>
      <c r="E11" s="550" t="e">
        <f>'Scoring (health)'!$AG$89&amp;"/"&amp;'Scoring (health)'!$AI$89</f>
        <v>#N/A</v>
      </c>
      <c r="F11" s="551"/>
      <c r="G11" s="555" t="str">
        <f>IFERROR('Scoring (health)'!$AG$89/'Scoring (health)'!$AI$89,"N/A")</f>
        <v>N/A</v>
      </c>
      <c r="H11" s="556"/>
      <c r="I11" s="550" t="e">
        <f>'Scoring (health)'!$AH$89&amp;"/"&amp;'Scoring (health)'!$AI$89</f>
        <v>#N/A</v>
      </c>
      <c r="J11" s="551"/>
      <c r="K11" s="555" t="str">
        <f>IFERROR('Scoring (health)'!$AH$89/'Scoring (health)'!$AI$89,"N/A")</f>
        <v>N/A</v>
      </c>
      <c r="L11" s="560"/>
      <c r="M11" s="556"/>
      <c r="T11" s="98"/>
    </row>
    <row r="12" spans="2:20" ht="17" x14ac:dyDescent="0.4">
      <c r="B12" s="95"/>
      <c r="C12" s="103" t="s">
        <v>726</v>
      </c>
      <c r="D12" s="103" t="s">
        <v>308</v>
      </c>
      <c r="E12" s="550" t="e">
        <f>'Scoring (health)'!$AJ$89&amp;"/"&amp;'Scoring (health)'!$AL$89</f>
        <v>#N/A</v>
      </c>
      <c r="F12" s="551"/>
      <c r="G12" s="555" t="str">
        <f>IFERROR('Scoring (health)'!$AJ$89/'Scoring (health)'!$AL$89,"N/A")</f>
        <v>N/A</v>
      </c>
      <c r="H12" s="556"/>
      <c r="I12" s="550" t="e">
        <f>'Scoring (health)'!$AK$89&amp;"/"&amp;'Scoring (health)'!$AL$89</f>
        <v>#N/A</v>
      </c>
      <c r="J12" s="551"/>
      <c r="K12" s="555" t="str">
        <f>IFERROR('Scoring (health)'!$AK$89/'Scoring (health)'!$AL$89,"N/A")</f>
        <v>N/A</v>
      </c>
      <c r="L12" s="560"/>
      <c r="M12" s="556"/>
      <c r="T12" s="98"/>
    </row>
    <row r="13" spans="2:20" ht="17" x14ac:dyDescent="0.4">
      <c r="B13" s="95"/>
      <c r="C13" s="347"/>
      <c r="D13" s="347"/>
      <c r="E13" s="598"/>
      <c r="F13" s="598"/>
      <c r="G13" s="599"/>
      <c r="H13" s="599"/>
      <c r="I13" s="598"/>
      <c r="J13" s="598"/>
      <c r="K13" s="599"/>
      <c r="L13" s="599"/>
      <c r="M13" s="599"/>
      <c r="N13" s="107"/>
      <c r="T13" s="98"/>
    </row>
    <row r="14" spans="2:20" x14ac:dyDescent="0.35">
      <c r="B14" s="95"/>
      <c r="T14" s="98"/>
    </row>
    <row r="15" spans="2:20" ht="17.5" customHeight="1" x14ac:dyDescent="0.35">
      <c r="B15" s="95"/>
      <c r="C15" s="564" t="s">
        <v>311</v>
      </c>
      <c r="D15" s="99"/>
      <c r="E15" s="602" t="s">
        <v>312</v>
      </c>
      <c r="F15" s="588" t="s">
        <v>313</v>
      </c>
      <c r="G15" s="590"/>
      <c r="H15" s="590"/>
      <c r="I15" s="590"/>
      <c r="J15" s="589"/>
      <c r="K15" s="593" t="s">
        <v>294</v>
      </c>
      <c r="L15" s="535"/>
      <c r="M15" s="602" t="s">
        <v>295</v>
      </c>
      <c r="N15" s="108"/>
      <c r="T15" s="98"/>
    </row>
    <row r="16" spans="2:20" ht="17" x14ac:dyDescent="0.35">
      <c r="B16" s="95"/>
      <c r="C16" s="565"/>
      <c r="D16" s="100"/>
      <c r="E16" s="603"/>
      <c r="F16" s="109" t="s">
        <v>543</v>
      </c>
      <c r="G16" s="109" t="s">
        <v>314</v>
      </c>
      <c r="H16" s="588" t="s">
        <v>315</v>
      </c>
      <c r="I16" s="589"/>
      <c r="J16" s="109" t="s">
        <v>316</v>
      </c>
      <c r="K16" s="595"/>
      <c r="L16" s="537"/>
      <c r="M16" s="603"/>
      <c r="N16" s="108"/>
      <c r="T16" s="98"/>
    </row>
    <row r="17" spans="2:20" ht="17" hidden="1" x14ac:dyDescent="0.35">
      <c r="B17" s="95"/>
      <c r="C17" s="110"/>
      <c r="D17" s="111"/>
      <c r="E17" s="112"/>
      <c r="F17" s="113" t="s">
        <v>453</v>
      </c>
      <c r="G17" s="113">
        <v>0</v>
      </c>
      <c r="H17" s="113">
        <v>1</v>
      </c>
      <c r="I17" s="113"/>
      <c r="J17" s="113">
        <v>2</v>
      </c>
      <c r="K17" s="112"/>
      <c r="L17" s="112"/>
      <c r="M17" s="114"/>
      <c r="N17" s="108"/>
      <c r="T17" s="98"/>
    </row>
    <row r="18" spans="2:20" ht="17.5" customHeight="1" x14ac:dyDescent="0.35">
      <c r="B18" s="95"/>
      <c r="C18" s="568" t="s">
        <v>290</v>
      </c>
      <c r="D18" s="575"/>
      <c r="E18" s="575"/>
      <c r="F18" s="575"/>
      <c r="G18" s="575"/>
      <c r="H18" s="575"/>
      <c r="I18" s="575"/>
      <c r="J18" s="575"/>
      <c r="K18" s="575"/>
      <c r="L18" s="575"/>
      <c r="M18" s="569"/>
      <c r="N18" s="115"/>
      <c r="T18" s="98"/>
    </row>
    <row r="19" spans="2:20" ht="17" x14ac:dyDescent="0.4">
      <c r="B19" s="95"/>
      <c r="C19" s="103" t="s">
        <v>38</v>
      </c>
      <c r="D19" s="103"/>
      <c r="E19" s="116">
        <f>SUMIF('Scoring (health)'!$C:$C,'Results (health)'!$C19,'Scoring (health)'!N:N)</f>
        <v>5</v>
      </c>
      <c r="F19" s="117">
        <f>COUNTIFS('Scoring (health)'!$C:$C,'Results (health)'!$C19,'Scoring (health)'!$O:$O,'Results (health)'!F$17,'Scoring (health)'!$Q:$Q,"&lt;&gt;NA")</f>
        <v>0</v>
      </c>
      <c r="G19" s="117">
        <f>COUNTIFS('Scoring (health)'!$C:$C,'Results (health)'!$C19,'Scoring (health)'!$O:$O,'Results (health)'!G$17,'Scoring (health)'!$Q:$Q,"&lt;&gt;NA")</f>
        <v>5</v>
      </c>
      <c r="H19" s="600">
        <f>COUNTIFS('Scoring (health)'!$C:$C,'Results (health)'!$C19,'Scoring (health)'!$O:$O,'Results (health)'!H$17,'Scoring (health)'!$Q:$Q,"&lt;&gt;NA")</f>
        <v>0</v>
      </c>
      <c r="I19" s="601"/>
      <c r="J19" s="117">
        <f>COUNTIFS('Scoring (health)'!$C:$C,'Results (health)'!$C19,'Scoring (health)'!$O:$O,'Results (health)'!J$17,'Scoring (health)'!$Q:$Q,"&lt;&gt;NA")</f>
        <v>0</v>
      </c>
      <c r="K19" s="550" t="str">
        <f>VLOOKUP($C19,'Scoring (health)'!$G:$T,11,0)&amp;"/"&amp;VLOOKUP($C19,'Scoring (health)'!$G:$T,12,0)</f>
        <v>0/10</v>
      </c>
      <c r="L19" s="551"/>
      <c r="M19" s="118">
        <f>IFERROR(VLOOKUP($C19,'Scoring (health)'!$G:$T,11,0)/VLOOKUP($C19,'Scoring (health)'!$G:$T,12,0),"N/A")</f>
        <v>0</v>
      </c>
      <c r="N19" s="107"/>
      <c r="T19" s="98"/>
    </row>
    <row r="20" spans="2:20" ht="17" x14ac:dyDescent="0.4">
      <c r="B20" s="95"/>
      <c r="C20" s="103" t="s">
        <v>54</v>
      </c>
      <c r="D20" s="103"/>
      <c r="E20" s="116">
        <f>SUMIF('Scoring (health)'!$C:$C,'Results (health)'!$C20,'Scoring (health)'!N:N)</f>
        <v>6</v>
      </c>
      <c r="F20" s="117">
        <f>COUNTIFS('Scoring (health)'!$C:$C,'Results (health)'!$C20,'Scoring (health)'!$O:$O,'Results (health)'!F$17,'Scoring (health)'!$Q:$Q,"&lt;&gt;NA")</f>
        <v>0</v>
      </c>
      <c r="G20" s="117">
        <f>COUNTIFS('Scoring (health)'!$C:$C,'Results (health)'!$C20,'Scoring (health)'!$O:$O,'Results (health)'!G$17,'Scoring (health)'!$Q:$Q,"&lt;&gt;NA")</f>
        <v>6</v>
      </c>
      <c r="H20" s="600">
        <f>COUNTIFS('Scoring (health)'!$C:$C,'Results (health)'!$C20,'Scoring (health)'!$O:$O,'Results (health)'!H$17,'Scoring (health)'!$Q:$Q,"&lt;&gt;NA")</f>
        <v>0</v>
      </c>
      <c r="I20" s="601"/>
      <c r="J20" s="117">
        <f>COUNTIFS('Scoring (health)'!$C:$C,'Results (health)'!$C20,'Scoring (health)'!$O:$O,'Results (health)'!J$17,'Scoring (health)'!$Q:$Q,"&lt;&gt;NA")</f>
        <v>0</v>
      </c>
      <c r="K20" s="550" t="str">
        <f>VLOOKUP($C20,'Scoring (health)'!$G:$T,11,0)&amp;"/"&amp;VLOOKUP($C20,'Scoring (health)'!$G:$T,12,0)</f>
        <v>0/12</v>
      </c>
      <c r="L20" s="551"/>
      <c r="M20" s="118">
        <f>IFERROR(VLOOKUP($C20,'Scoring (health)'!$G:$T,11,0)/VLOOKUP($C20,'Scoring (health)'!$G:$T,12,0),"N/A")</f>
        <v>0</v>
      </c>
      <c r="N20" s="107"/>
      <c r="T20" s="98"/>
    </row>
    <row r="21" spans="2:20" ht="17" x14ac:dyDescent="0.4">
      <c r="B21" s="95"/>
      <c r="C21" s="103" t="s">
        <v>72</v>
      </c>
      <c r="D21" s="103"/>
      <c r="E21" s="116">
        <f>SUMIF('Scoring (health)'!$C:$C,'Results (health)'!$C21,'Scoring (health)'!N:N)</f>
        <v>7</v>
      </c>
      <c r="F21" s="117">
        <f>COUNTIFS('Scoring (health)'!$C:$C,'Results (health)'!$C21,'Scoring (health)'!$O:$O,'Results (health)'!F$17,'Scoring (health)'!$Q:$Q,"&lt;&gt;NA")</f>
        <v>0</v>
      </c>
      <c r="G21" s="117">
        <f>COUNTIFS('Scoring (health)'!$C:$C,'Results (health)'!$C21,'Scoring (health)'!$O:$O,'Results (health)'!G$17,'Scoring (health)'!$Q:$Q,"&lt;&gt;NA")</f>
        <v>7</v>
      </c>
      <c r="H21" s="600">
        <f>COUNTIFS('Scoring (health)'!$C:$C,'Results (health)'!$C21,'Scoring (health)'!$O:$O,'Results (health)'!H$17,'Scoring (health)'!$Q:$Q,"&lt;&gt;NA")</f>
        <v>0</v>
      </c>
      <c r="I21" s="601"/>
      <c r="J21" s="117">
        <f>COUNTIFS('Scoring (health)'!$C:$C,'Results (health)'!$C21,'Scoring (health)'!$O:$O,'Results (health)'!J$17,'Scoring (health)'!$Q:$Q,"&lt;&gt;NA")</f>
        <v>0</v>
      </c>
      <c r="K21" s="550" t="str">
        <f>VLOOKUP($C21,'Scoring (health)'!$G:$T,11,0)&amp;"/"&amp;VLOOKUP($C21,'Scoring (health)'!$G:$T,12,0)</f>
        <v>0/14</v>
      </c>
      <c r="L21" s="551"/>
      <c r="M21" s="118">
        <f>IFERROR(VLOOKUP($C21,'Scoring (health)'!$G:$T,11,0)/VLOOKUP($C21,'Scoring (health)'!$G:$T,12,0),"N/A")</f>
        <v>0</v>
      </c>
      <c r="N21" s="107"/>
      <c r="T21" s="98"/>
    </row>
    <row r="22" spans="2:20" ht="17" x14ac:dyDescent="0.4">
      <c r="B22" s="95"/>
      <c r="C22" s="103" t="s">
        <v>100</v>
      </c>
      <c r="D22" s="103"/>
      <c r="E22" s="116">
        <f>SUMIF('Scoring (health)'!$C:$C,'Results (health)'!$C22,'Scoring (health)'!N:N)</f>
        <v>13</v>
      </c>
      <c r="F22" s="117">
        <f>COUNTIFS('Scoring (health)'!$C:$C,'Results (health)'!$C22,'Scoring (health)'!$O:$O,'Results (health)'!F$17,'Scoring (health)'!$Q:$Q,"&lt;&gt;NA")</f>
        <v>0</v>
      </c>
      <c r="G22" s="117">
        <f>COUNTIFS('Scoring (health)'!$C:$C,'Results (health)'!$C22,'Scoring (health)'!$O:$O,'Results (health)'!G$17,'Scoring (health)'!$Q:$Q,"&lt;&gt;NA")</f>
        <v>13</v>
      </c>
      <c r="H22" s="600">
        <f>COUNTIFS('Scoring (health)'!$C:$C,'Results (health)'!$C22,'Scoring (health)'!$O:$O,'Results (health)'!H$17,'Scoring (health)'!$Q:$Q,"&lt;&gt;NA")</f>
        <v>0</v>
      </c>
      <c r="I22" s="601"/>
      <c r="J22" s="117">
        <f>COUNTIFS('Scoring (health)'!$C:$C,'Results (health)'!$C22,'Scoring (health)'!$O:$O,'Results (health)'!J$17,'Scoring (health)'!$Q:$Q,"&lt;&gt;NA")</f>
        <v>0</v>
      </c>
      <c r="K22" s="550" t="str">
        <f>VLOOKUP($C22,'Scoring (health)'!$G:$T,11,0)&amp;"/"&amp;VLOOKUP($C22,'Scoring (health)'!$G:$T,12,0)</f>
        <v>0/26</v>
      </c>
      <c r="L22" s="551"/>
      <c r="M22" s="118">
        <f>IFERROR(VLOOKUP($C22,'Scoring (health)'!$G:$T,11,0)/VLOOKUP($C22,'Scoring (health)'!$G:$T,12,0),"N/A")</f>
        <v>0</v>
      </c>
      <c r="N22" s="107"/>
      <c r="T22" s="98"/>
    </row>
    <row r="23" spans="2:20" ht="17.5" customHeight="1" x14ac:dyDescent="0.4">
      <c r="B23" s="95"/>
      <c r="C23" s="103" t="s">
        <v>162</v>
      </c>
      <c r="D23" s="103"/>
      <c r="E23" s="116">
        <f>SUMIF('Scoring (health)'!$C:$C,'Results (health)'!$C23,'Scoring (health)'!N:N)</f>
        <v>11</v>
      </c>
      <c r="F23" s="117">
        <f>COUNTIFS('Scoring (health)'!$C:$C,'Results (health)'!$C23,'Scoring (health)'!$O:$O,'Results (health)'!F$17,'Scoring (health)'!$Q:$Q,"&lt;&gt;NA")</f>
        <v>0</v>
      </c>
      <c r="G23" s="117">
        <f>COUNTIFS('Scoring (health)'!$C:$C,'Results (health)'!$C23,'Scoring (health)'!$O:$O,'Results (health)'!G$17,'Scoring (health)'!$Q:$Q,"&lt;&gt;NA")</f>
        <v>11</v>
      </c>
      <c r="H23" s="600">
        <f>COUNTIFS('Scoring (health)'!$C:$C,'Results (health)'!$C23,'Scoring (health)'!$O:$O,'Results (health)'!H$17,'Scoring (health)'!$Q:$Q,"&lt;&gt;NA")</f>
        <v>0</v>
      </c>
      <c r="I23" s="601"/>
      <c r="J23" s="117">
        <f>COUNTIFS('Scoring (health)'!$C:$C,'Results (health)'!$C23,'Scoring (health)'!$O:$O,'Results (health)'!J$17,'Scoring (health)'!$Q:$Q,"&lt;&gt;NA")</f>
        <v>0</v>
      </c>
      <c r="K23" s="550" t="e">
        <f>VLOOKUP($C23,'Scoring (health)'!$G:$T,11,0)&amp;"/"&amp;VLOOKUP($C23,'Scoring (health)'!$G:$T,12,0)</f>
        <v>#REF!</v>
      </c>
      <c r="L23" s="551"/>
      <c r="M23" s="118" t="str">
        <f>IFERROR(VLOOKUP($C23,'Scoring (health)'!$G:$T,11,0)/VLOOKUP($C23,'Scoring (health)'!$G:$T,12,0),"N/A")</f>
        <v>N/A</v>
      </c>
      <c r="N23" s="107"/>
      <c r="T23" s="98"/>
    </row>
    <row r="24" spans="2:20" ht="17" x14ac:dyDescent="0.4">
      <c r="B24" s="95"/>
      <c r="C24" s="103" t="s">
        <v>210</v>
      </c>
      <c r="D24" s="103"/>
      <c r="E24" s="116">
        <f>SUMIF('Scoring (health)'!$C:$C,'Results (health)'!$C24,'Scoring (health)'!N:N)</f>
        <v>12</v>
      </c>
      <c r="F24" s="117">
        <f>COUNTIFS('Scoring (health)'!$C:$C,'Results (health)'!$C24,'Scoring (health)'!$O:$O,'Results (health)'!F$17,'Scoring (health)'!$Q:$Q,"&lt;&gt;NA")</f>
        <v>0</v>
      </c>
      <c r="G24" s="117">
        <f>COUNTIFS('Scoring (health)'!$C:$C,'Results (health)'!$C24,'Scoring (health)'!$O:$O,'Results (health)'!G$17,'Scoring (health)'!$Q:$Q,"&lt;&gt;NA")</f>
        <v>12</v>
      </c>
      <c r="H24" s="600">
        <f>COUNTIFS('Scoring (health)'!$C:$C,'Results (health)'!$C24,'Scoring (health)'!$O:$O,'Results (health)'!H$17,'Scoring (health)'!$Q:$Q,"&lt;&gt;NA")</f>
        <v>0</v>
      </c>
      <c r="I24" s="601"/>
      <c r="J24" s="117">
        <f>COUNTIFS('Scoring (health)'!$C:$C,'Results (health)'!$C24,'Scoring (health)'!$O:$O,'Results (health)'!J$17,'Scoring (health)'!$Q:$Q,"&lt;&gt;NA")</f>
        <v>0</v>
      </c>
      <c r="K24" s="550" t="str">
        <f>VLOOKUP($C24,'Scoring (health)'!$G:$T,11,0)&amp;"/"&amp;VLOOKUP($C24,'Scoring (health)'!$G:$T,12,0)</f>
        <v>0/24</v>
      </c>
      <c r="L24" s="551"/>
      <c r="M24" s="118">
        <f>IFERROR(VLOOKUP($C24,'Scoring (health)'!$G:$T,11,0)/VLOOKUP($C24,'Scoring (health)'!$G:$T,12,0),"N/A")</f>
        <v>0</v>
      </c>
      <c r="N24" s="107"/>
      <c r="T24" s="98"/>
    </row>
    <row r="25" spans="2:20" ht="17" x14ac:dyDescent="0.4">
      <c r="B25" s="95"/>
      <c r="C25" s="103" t="s">
        <v>264</v>
      </c>
      <c r="D25" s="103"/>
      <c r="E25" s="116">
        <f>SUMIF('Scoring (health)'!$C:$C,'Results (health)'!$C25,'Scoring (health)'!N:N)</f>
        <v>5</v>
      </c>
      <c r="F25" s="117">
        <f>COUNTIFS('Scoring (health)'!$C:$C,'Results (health)'!$C25,'Scoring (health)'!$O:$O,'Results (health)'!F$17,'Scoring (health)'!$Q:$Q,"&lt;&gt;NA")</f>
        <v>0</v>
      </c>
      <c r="G25" s="117">
        <f>COUNTIFS('Scoring (health)'!$C:$C,'Results (health)'!$C25,'Scoring (health)'!$O:$O,'Results (health)'!G$17,'Scoring (health)'!$Q:$Q,"&lt;&gt;NA")</f>
        <v>5</v>
      </c>
      <c r="H25" s="600">
        <f>COUNTIFS('Scoring (health)'!$C:$C,'Results (health)'!$C25,'Scoring (health)'!$O:$O,'Results (health)'!H$17,'Scoring (health)'!$Q:$Q,"&lt;&gt;NA")</f>
        <v>0</v>
      </c>
      <c r="I25" s="601"/>
      <c r="J25" s="117">
        <f>COUNTIFS('Scoring (health)'!$C:$C,'Results (health)'!$C25,'Scoring (health)'!$O:$O,'Results (health)'!J$17,'Scoring (health)'!$Q:$Q,"&lt;&gt;NA")</f>
        <v>0</v>
      </c>
      <c r="K25" s="550" t="str">
        <f>VLOOKUP($C25,'Scoring (health)'!$G:$T,11,0)&amp;"/"&amp;VLOOKUP($C25,'Scoring (health)'!$G:$T,12,0)</f>
        <v>0/10</v>
      </c>
      <c r="L25" s="551"/>
      <c r="M25" s="118">
        <f>IFERROR(VLOOKUP($C25,'Scoring (health)'!$G:$T,11,0)/VLOOKUP($C25,'Scoring (health)'!$G:$T,12,0),"N/A")</f>
        <v>0</v>
      </c>
      <c r="N25" s="107"/>
      <c r="T25" s="98"/>
    </row>
    <row r="26" spans="2:20" ht="17.5" customHeight="1" x14ac:dyDescent="0.35">
      <c r="B26" s="95"/>
      <c r="C26" s="570" t="s">
        <v>317</v>
      </c>
      <c r="D26" s="572"/>
      <c r="E26" s="572"/>
      <c r="F26" s="572"/>
      <c r="G26" s="572"/>
      <c r="H26" s="572"/>
      <c r="I26" s="572"/>
      <c r="J26" s="572"/>
      <c r="K26" s="572"/>
      <c r="L26" s="572"/>
      <c r="M26" s="571"/>
      <c r="N26" s="119"/>
      <c r="T26" s="98"/>
    </row>
    <row r="27" spans="2:20" ht="17" x14ac:dyDescent="0.4">
      <c r="B27" s="95"/>
      <c r="C27" s="120" t="s">
        <v>38</v>
      </c>
      <c r="E27" s="121">
        <f>SUMIF('Scoring (health)'!$C:$C,'Results (health)'!$C27,'Scoring (health)'!N:N)</f>
        <v>5</v>
      </c>
      <c r="F27" s="122">
        <f>COUNTIFS('Scoring (health)'!$C:$C,'Results (health)'!$C27,'Scoring (health)'!$P:$P,'Results (health)'!F$17,'Scoring (health)'!$Q:$Q,"&lt;&gt;NA")</f>
        <v>0</v>
      </c>
      <c r="G27" s="122">
        <f>COUNTIFS('Scoring (health)'!$C:$C,'Results (health)'!$C27,'Scoring (health)'!$P:$P,'Results (health)'!G$17,'Scoring (health)'!$Q:$Q,"&lt;&gt;NA")</f>
        <v>4</v>
      </c>
      <c r="H27" s="600">
        <f>COUNTIFS('Scoring (health)'!$C:$C,'Results (health)'!$C27,'Scoring (health)'!$P:$P,'Results (health)'!H$17,'Scoring (health)'!$Q:$Q,"&lt;&gt;NA")</f>
        <v>1</v>
      </c>
      <c r="I27" s="601"/>
      <c r="J27" s="122">
        <f>COUNTIFS('Scoring (health)'!$C:$C,'Results (health)'!$C27,'Scoring (health)'!$P:$P,'Results (health)'!J$17,'Scoring (health)'!$Q:$Q,"&lt;&gt;NA")</f>
        <v>0</v>
      </c>
      <c r="K27" s="550" t="str">
        <f>VLOOKUP($C27,'Scoring (health)'!$G:$T,13,0)&amp;"/"&amp;VLOOKUP($C27,'Scoring (health)'!$G:$T,14,0)</f>
        <v>0/10</v>
      </c>
      <c r="L27" s="551"/>
      <c r="M27" s="123">
        <f>IFERROR(VLOOKUP($C27,'Scoring (health)'!$G:$T,13,0)/VLOOKUP($C27,'Scoring (health)'!$G:$T,14,0),"N/A")</f>
        <v>0</v>
      </c>
      <c r="N27" s="107"/>
      <c r="T27" s="98"/>
    </row>
    <row r="28" spans="2:20" ht="17" x14ac:dyDescent="0.4">
      <c r="B28" s="95"/>
      <c r="C28" s="103" t="s">
        <v>54</v>
      </c>
      <c r="E28" s="116">
        <f>SUMIF('Scoring (health)'!$C:$C,'Results (health)'!$C28,'Scoring (health)'!N:N)</f>
        <v>6</v>
      </c>
      <c r="F28" s="122">
        <f>COUNTIFS('Scoring (health)'!$C:$C,'Results (health)'!$C28,'Scoring (health)'!$P:$P,'Results (health)'!F$17,'Scoring (health)'!$Q:$Q,"&lt;&gt;NA")</f>
        <v>0</v>
      </c>
      <c r="G28" s="122">
        <f>COUNTIFS('Scoring (health)'!$C:$C,'Results (health)'!$C28,'Scoring (health)'!$P:$P,'Results (health)'!G$17,'Scoring (health)'!$Q:$Q,"&lt;&gt;NA")</f>
        <v>6</v>
      </c>
      <c r="H28" s="600">
        <f>COUNTIFS('Scoring (health)'!$C:$C,'Results (health)'!$C28,'Scoring (health)'!$P:$P,'Results (health)'!H$17,'Scoring (health)'!$Q:$Q,"&lt;&gt;NA")</f>
        <v>0</v>
      </c>
      <c r="I28" s="601"/>
      <c r="J28" s="122">
        <f>COUNTIFS('Scoring (health)'!$C:$C,'Results (health)'!$C28,'Scoring (health)'!$P:$P,'Results (health)'!J$17,'Scoring (health)'!$Q:$Q,"&lt;&gt;NA")</f>
        <v>0</v>
      </c>
      <c r="K28" s="550" t="str">
        <f>VLOOKUP($C28,'Scoring (health)'!$G:$T,13,0)&amp;"/"&amp;VLOOKUP($C28,'Scoring (health)'!$G:$T,14,0)</f>
        <v>0/12</v>
      </c>
      <c r="L28" s="551"/>
      <c r="M28" s="123">
        <f>IFERROR(VLOOKUP($C28,'Scoring (health)'!$G:$T,13,0)/VLOOKUP($C28,'Scoring (health)'!$G:$T,14,0),"N/A")</f>
        <v>0</v>
      </c>
      <c r="N28" s="107"/>
      <c r="T28" s="98"/>
    </row>
    <row r="29" spans="2:20" ht="17" x14ac:dyDescent="0.4">
      <c r="B29" s="95"/>
      <c r="C29" s="103" t="s">
        <v>72</v>
      </c>
      <c r="E29" s="116">
        <f>SUMIF('Scoring (health)'!$C:$C,'Results (health)'!$C29,'Scoring (health)'!N:N)</f>
        <v>7</v>
      </c>
      <c r="F29" s="122">
        <f>COUNTIFS('Scoring (health)'!$C:$C,'Results (health)'!$C29,'Scoring (health)'!$P:$P,'Results (health)'!F$17,'Scoring (health)'!$Q:$Q,"&lt;&gt;NA")</f>
        <v>0</v>
      </c>
      <c r="G29" s="122">
        <f>COUNTIFS('Scoring (health)'!$C:$C,'Results (health)'!$C29,'Scoring (health)'!$P:$P,'Results (health)'!G$17,'Scoring (health)'!$Q:$Q,"&lt;&gt;NA")</f>
        <v>7</v>
      </c>
      <c r="H29" s="600">
        <f>COUNTIFS('Scoring (health)'!$C:$C,'Results (health)'!$C29,'Scoring (health)'!$P:$P,'Results (health)'!H$17,'Scoring (health)'!$Q:$Q,"&lt;&gt;NA")</f>
        <v>0</v>
      </c>
      <c r="I29" s="601"/>
      <c r="J29" s="122">
        <f>COUNTIFS('Scoring (health)'!$C:$C,'Results (health)'!$C29,'Scoring (health)'!$P:$P,'Results (health)'!J$17,'Scoring (health)'!$Q:$Q,"&lt;&gt;NA")</f>
        <v>0</v>
      </c>
      <c r="K29" s="550" t="str">
        <f>VLOOKUP($C29,'Scoring (health)'!$G:$T,13,0)&amp;"/"&amp;VLOOKUP($C29,'Scoring (health)'!$G:$T,14,0)</f>
        <v>0/14</v>
      </c>
      <c r="L29" s="551"/>
      <c r="M29" s="123">
        <f>IFERROR(VLOOKUP($C29,'Scoring (health)'!$G:$T,13,0)/VLOOKUP($C29,'Scoring (health)'!$G:$T,14,0),"N/A")</f>
        <v>0</v>
      </c>
      <c r="N29" s="107"/>
      <c r="T29" s="98"/>
    </row>
    <row r="30" spans="2:20" ht="17" x14ac:dyDescent="0.4">
      <c r="B30" s="95"/>
      <c r="C30" s="103" t="s">
        <v>100</v>
      </c>
      <c r="E30" s="116">
        <f>SUMIF('Scoring (health)'!$C:$C,'Results (health)'!$C30,'Scoring (health)'!N:N)</f>
        <v>13</v>
      </c>
      <c r="F30" s="122">
        <f>COUNTIFS('Scoring (health)'!$C:$C,'Results (health)'!$C30,'Scoring (health)'!$P:$P,'Results (health)'!F$17,'Scoring (health)'!$Q:$Q,"&lt;&gt;NA")</f>
        <v>0</v>
      </c>
      <c r="G30" s="122">
        <f>COUNTIFS('Scoring (health)'!$C:$C,'Results (health)'!$C30,'Scoring (health)'!$P:$P,'Results (health)'!G$17,'Scoring (health)'!$Q:$Q,"&lt;&gt;NA")</f>
        <v>13</v>
      </c>
      <c r="H30" s="600">
        <f>COUNTIFS('Scoring (health)'!$C:$C,'Results (health)'!$C30,'Scoring (health)'!$P:$P,'Results (health)'!H$17,'Scoring (health)'!$Q:$Q,"&lt;&gt;NA")</f>
        <v>0</v>
      </c>
      <c r="I30" s="601"/>
      <c r="J30" s="122">
        <f>COUNTIFS('Scoring (health)'!$C:$C,'Results (health)'!$C30,'Scoring (health)'!$P:$P,'Results (health)'!J$17,'Scoring (health)'!$Q:$Q,"&lt;&gt;NA")</f>
        <v>0</v>
      </c>
      <c r="K30" s="550" t="str">
        <f>VLOOKUP($C30,'Scoring (health)'!$G:$T,13,0)&amp;"/"&amp;VLOOKUP($C30,'Scoring (health)'!$G:$T,14,0)</f>
        <v>0/26</v>
      </c>
      <c r="L30" s="551"/>
      <c r="M30" s="123">
        <f>IFERROR(VLOOKUP($C30,'Scoring (health)'!$G:$T,13,0)/VLOOKUP($C30,'Scoring (health)'!$G:$T,14,0),"N/A")</f>
        <v>0</v>
      </c>
      <c r="N30" s="107"/>
      <c r="T30" s="98"/>
    </row>
    <row r="31" spans="2:20" ht="17" x14ac:dyDescent="0.4">
      <c r="B31" s="95"/>
      <c r="C31" s="103" t="s">
        <v>162</v>
      </c>
      <c r="E31" s="116">
        <f>SUMIF('Scoring (health)'!$C:$C,'Results (health)'!$C31,'Scoring (health)'!N:N)</f>
        <v>11</v>
      </c>
      <c r="F31" s="122">
        <f>COUNTIFS('Scoring (health)'!$C:$C,'Results (health)'!$C31,'Scoring (health)'!$P:$P,'Results (health)'!F$17,'Scoring (health)'!$Q:$Q,"&lt;&gt;NA")</f>
        <v>0</v>
      </c>
      <c r="G31" s="122">
        <f>COUNTIFS('Scoring (health)'!$C:$C,'Results (health)'!$C31,'Scoring (health)'!$P:$P,'Results (health)'!G$17,'Scoring (health)'!$Q:$Q,"&lt;&gt;NA")</f>
        <v>11</v>
      </c>
      <c r="H31" s="600">
        <f>COUNTIFS('Scoring (health)'!$C:$C,'Results (health)'!$C31,'Scoring (health)'!$P:$P,'Results (health)'!H$17,'Scoring (health)'!$Q:$Q,"&lt;&gt;NA")</f>
        <v>0</v>
      </c>
      <c r="I31" s="601"/>
      <c r="J31" s="122">
        <f>COUNTIFS('Scoring (health)'!$C:$C,'Results (health)'!$C31,'Scoring (health)'!$P:$P,'Results (health)'!J$17,'Scoring (health)'!$Q:$Q,"&lt;&gt;NA")</f>
        <v>0</v>
      </c>
      <c r="K31" s="550" t="e">
        <f>VLOOKUP($C31,'Scoring (health)'!$G:$T,13,0)&amp;"/"&amp;VLOOKUP($C31,'Scoring (health)'!$G:$T,14,0)</f>
        <v>#REF!</v>
      </c>
      <c r="L31" s="551"/>
      <c r="M31" s="123" t="str">
        <f>IFERROR(VLOOKUP($C31,'Scoring (health)'!$G:$T,13,0)/VLOOKUP($C31,'Scoring (health)'!$G:$T,14,0),"N/A")</f>
        <v>N/A</v>
      </c>
      <c r="N31" s="107"/>
      <c r="T31" s="98"/>
    </row>
    <row r="32" spans="2:20" ht="17" x14ac:dyDescent="0.4">
      <c r="B32" s="95"/>
      <c r="C32" s="103" t="s">
        <v>210</v>
      </c>
      <c r="E32" s="116">
        <f>SUMIF('Scoring (health)'!$C:$C,'Results (health)'!$C32,'Scoring (health)'!N:N)</f>
        <v>12</v>
      </c>
      <c r="F32" s="122">
        <f>COUNTIFS('Scoring (health)'!$C:$C,'Results (health)'!$C32,'Scoring (health)'!$P:$P,'Results (health)'!F$17,'Scoring (health)'!$Q:$Q,"&lt;&gt;NA")</f>
        <v>0</v>
      </c>
      <c r="G32" s="122">
        <f>COUNTIFS('Scoring (health)'!$C:$C,'Results (health)'!$C32,'Scoring (health)'!$P:$P,'Results (health)'!G$17,'Scoring (health)'!$Q:$Q,"&lt;&gt;NA")</f>
        <v>12</v>
      </c>
      <c r="H32" s="600">
        <f>COUNTIFS('Scoring (health)'!$C:$C,'Results (health)'!$C32,'Scoring (health)'!$P:$P,'Results (health)'!H$17,'Scoring (health)'!$Q:$Q,"&lt;&gt;NA")</f>
        <v>0</v>
      </c>
      <c r="I32" s="601"/>
      <c r="J32" s="122">
        <f>COUNTIFS('Scoring (health)'!$C:$C,'Results (health)'!$C32,'Scoring (health)'!$P:$P,'Results (health)'!J$17,'Scoring (health)'!$Q:$Q,"&lt;&gt;NA")</f>
        <v>0</v>
      </c>
      <c r="K32" s="550" t="str">
        <f>VLOOKUP($C32,'Scoring (health)'!$G:$T,13,0)&amp;"/"&amp;VLOOKUP($C32,'Scoring (health)'!$G:$T,14,0)</f>
        <v>0/24</v>
      </c>
      <c r="L32" s="551"/>
      <c r="M32" s="123">
        <f>IFERROR(VLOOKUP($C32,'Scoring (health)'!$G:$T,13,0)/VLOOKUP($C32,'Scoring (health)'!$G:$T,14,0),"N/A")</f>
        <v>0</v>
      </c>
      <c r="N32" s="107"/>
      <c r="T32" s="98"/>
    </row>
    <row r="33" spans="2:20" ht="17" x14ac:dyDescent="0.4">
      <c r="B33" s="95"/>
      <c r="C33" s="103" t="s">
        <v>264</v>
      </c>
      <c r="E33" s="116">
        <f>SUMIF('Scoring (health)'!$C:$C,'Results (health)'!$C33,'Scoring (health)'!N:N)</f>
        <v>5</v>
      </c>
      <c r="F33" s="122">
        <f>COUNTIFS('Scoring (health)'!$C:$C,'Results (health)'!$C33,'Scoring (health)'!$P:$P,'Results (health)'!F$17,'Scoring (health)'!$Q:$Q,"&lt;&gt;NA")</f>
        <v>0</v>
      </c>
      <c r="G33" s="122">
        <f>COUNTIFS('Scoring (health)'!$C:$C,'Results (health)'!$C33,'Scoring (health)'!$P:$P,'Results (health)'!G$17,'Scoring (health)'!$Q:$Q,"&lt;&gt;NA")</f>
        <v>5</v>
      </c>
      <c r="H33" s="600">
        <f>COUNTIFS('Scoring (health)'!$C:$C,'Results (health)'!$C33,'Scoring (health)'!$P:$P,'Results (health)'!H$17,'Scoring (health)'!$Q:$Q,"&lt;&gt;NA")</f>
        <v>0</v>
      </c>
      <c r="I33" s="601"/>
      <c r="J33" s="122">
        <f>COUNTIFS('Scoring (health)'!$C:$C,'Results (health)'!$C33,'Scoring (health)'!$P:$P,'Results (health)'!J$17,'Scoring (health)'!$Q:$Q,"&lt;&gt;NA")</f>
        <v>0</v>
      </c>
      <c r="K33" s="550" t="str">
        <f>VLOOKUP($C33,'Scoring (health)'!$G:$T,13,0)&amp;"/"&amp;VLOOKUP($C33,'Scoring (health)'!$G:$T,14,0)</f>
        <v>0/10</v>
      </c>
      <c r="L33" s="551"/>
      <c r="M33" s="123">
        <f>IFERROR(VLOOKUP($C33,'Scoring (health)'!$G:$T,13,0)/VLOOKUP($C33,'Scoring (health)'!$G:$T,14,0),"N/A")</f>
        <v>0</v>
      </c>
      <c r="N33" s="107"/>
      <c r="T33" s="98"/>
    </row>
    <row r="34" spans="2:20" x14ac:dyDescent="0.35">
      <c r="B34" s="95"/>
      <c r="T34" s="98"/>
    </row>
    <row r="35" spans="2:20" ht="17" x14ac:dyDescent="0.4">
      <c r="B35" s="95"/>
      <c r="C35" s="604" t="s">
        <v>570</v>
      </c>
      <c r="D35" s="605"/>
      <c r="E35" s="605"/>
      <c r="F35" s="605"/>
      <c r="G35" s="605"/>
      <c r="H35" s="605"/>
      <c r="I35" s="605"/>
      <c r="J35" s="605"/>
      <c r="K35" s="605"/>
      <c r="L35" s="605"/>
      <c r="M35" s="606"/>
      <c r="N35" s="124"/>
      <c r="T35" s="98"/>
    </row>
    <row r="36" spans="2:20" ht="17.5" customHeight="1" x14ac:dyDescent="0.4">
      <c r="B36" s="95"/>
      <c r="C36" s="543" t="str">
        <f>Validation!L2</f>
        <v>1. Left/right hook collisions at junctions or side roads</v>
      </c>
      <c r="D36" s="544"/>
      <c r="E36" s="545"/>
      <c r="F36" s="543" t="str">
        <f>Validation!N2</f>
        <v>23. Nearside lane width and configuration</v>
      </c>
      <c r="G36" s="544"/>
      <c r="H36" s="544"/>
      <c r="I36" s="544"/>
      <c r="J36" s="544"/>
      <c r="K36" s="544"/>
      <c r="L36" s="544"/>
      <c r="M36" s="545"/>
      <c r="N36" s="125"/>
      <c r="T36" s="98"/>
    </row>
    <row r="37" spans="2:20" ht="17.149999999999999" customHeight="1" x14ac:dyDescent="0.4">
      <c r="B37" s="95"/>
      <c r="C37" s="543" t="str">
        <f>Validation!L3</f>
        <v>2. Application of LTN 1/20 Junction Assessment Tool</v>
      </c>
      <c r="D37" s="544"/>
      <c r="E37" s="545"/>
      <c r="F37" s="543" t="str">
        <f>Validation!N3</f>
        <v>24. Effect of kerbside activity on cyclists</v>
      </c>
      <c r="G37" s="544"/>
      <c r="H37" s="544"/>
      <c r="I37" s="544"/>
      <c r="J37" s="544"/>
      <c r="K37" s="544"/>
      <c r="L37" s="544"/>
      <c r="M37" s="545"/>
      <c r="N37" s="125"/>
      <c r="T37" s="98"/>
    </row>
    <row r="38" spans="2:20" ht="17.149999999999999" customHeight="1" x14ac:dyDescent="0.4">
      <c r="B38" s="95"/>
      <c r="C38" s="543" t="str">
        <f>Validation!L4</f>
        <v>3. Pedestrian and cycle continuity, priority, accessibility and legibility across side roads</v>
      </c>
      <c r="D38" s="544"/>
      <c r="E38" s="545"/>
      <c r="F38" s="543" t="str">
        <f>Validation!N4</f>
        <v>28. Surface condition and general maintenance</v>
      </c>
      <c r="G38" s="544"/>
      <c r="H38" s="544"/>
      <c r="I38" s="544"/>
      <c r="J38" s="544"/>
      <c r="K38" s="544"/>
      <c r="L38" s="544"/>
      <c r="M38" s="545"/>
      <c r="N38" s="125"/>
      <c r="T38" s="98"/>
    </row>
    <row r="39" spans="2:20" ht="17.149999999999999" customHeight="1" x14ac:dyDescent="0.4">
      <c r="B39" s="95"/>
      <c r="C39" s="543" t="str">
        <f>Validation!L5</f>
        <v>6. Distance between formal crossing points considering PCU's a day</v>
      </c>
      <c r="D39" s="544"/>
      <c r="E39" s="545"/>
      <c r="F39" s="543" t="str">
        <f>Validation!N5</f>
        <v>33. Uniformity and quality of street lighting and its impact on users</v>
      </c>
      <c r="G39" s="544"/>
      <c r="H39" s="544"/>
      <c r="I39" s="544"/>
      <c r="J39" s="544"/>
      <c r="K39" s="544"/>
      <c r="L39" s="544"/>
      <c r="M39" s="545"/>
      <c r="N39" s="125"/>
      <c r="T39" s="98"/>
    </row>
    <row r="40" spans="2:20" ht="17.149999999999999" customHeight="1" x14ac:dyDescent="0.4">
      <c r="B40" s="95"/>
      <c r="C40" s="543" t="str">
        <f>Validation!L6</f>
        <v>7. Type of crossing facility appropriate for street context</v>
      </c>
      <c r="D40" s="544"/>
      <c r="E40" s="545"/>
      <c r="F40" s="543" t="e">
        <f>Validation!#REF!</f>
        <v>#REF!</v>
      </c>
      <c r="G40" s="544"/>
      <c r="H40" s="544"/>
      <c r="I40" s="544"/>
      <c r="J40" s="544"/>
      <c r="K40" s="544"/>
      <c r="L40" s="544"/>
      <c r="M40" s="545"/>
      <c r="N40" s="125"/>
      <c r="T40" s="98"/>
    </row>
    <row r="41" spans="2:20" ht="17.149999999999999" customHeight="1" x14ac:dyDescent="0.4">
      <c r="B41" s="95"/>
      <c r="C41" s="543" t="e">
        <f>Validation!#REF!</f>
        <v>#REF!</v>
      </c>
      <c r="D41" s="544"/>
      <c r="E41" s="545"/>
      <c r="F41" s="543" t="str">
        <f>Validation!N6</f>
        <v>44. Street to platform/boarding point step free access</v>
      </c>
      <c r="G41" s="544"/>
      <c r="H41" s="544"/>
      <c r="I41" s="544"/>
      <c r="J41" s="544"/>
      <c r="K41" s="544"/>
      <c r="L41" s="544"/>
      <c r="M41" s="545"/>
      <c r="N41" s="125"/>
      <c r="T41" s="98"/>
    </row>
    <row r="42" spans="2:20" ht="17.149999999999999" customHeight="1" x14ac:dyDescent="0.4">
      <c r="B42" s="95"/>
      <c r="C42" s="543" t="str">
        <f>Validation!L7</f>
        <v>12. Clear pedestrian routes that maintain minimum unobstructed width throughout</v>
      </c>
      <c r="D42" s="544"/>
      <c r="E42" s="545"/>
      <c r="F42" s="543" t="str">
        <f>Validation!N7</f>
        <v>48. Degree to which bus stop zone is universally accessible for people using the stop and people passing by</v>
      </c>
      <c r="G42" s="544"/>
      <c r="H42" s="544"/>
      <c r="I42" s="544"/>
      <c r="J42" s="544"/>
      <c r="K42" s="544"/>
      <c r="L42" s="544"/>
      <c r="M42" s="545"/>
      <c r="N42" s="125"/>
      <c r="T42" s="98"/>
    </row>
    <row r="43" spans="2:20" ht="17.149999999999999" customHeight="1" x14ac:dyDescent="0.4">
      <c r="B43" s="95"/>
      <c r="C43" s="543" t="str">
        <f>Validation!L8</f>
        <v>13. Trip hazards and surface quality</v>
      </c>
      <c r="D43" s="544"/>
      <c r="E43" s="545"/>
      <c r="F43" s="543" t="str">
        <f>Validation!N8</f>
        <v>51. Perception of safety at stop</v>
      </c>
      <c r="G43" s="544"/>
      <c r="H43" s="544"/>
      <c r="I43" s="544"/>
      <c r="J43" s="544"/>
      <c r="K43" s="544"/>
      <c r="L43" s="544"/>
      <c r="M43" s="545"/>
      <c r="N43" s="125"/>
      <c r="T43" s="98"/>
    </row>
    <row r="44" spans="2:20" ht="17.149999999999999" customHeight="1" x14ac:dyDescent="0.4">
      <c r="B44" s="95"/>
      <c r="C44" s="543" t="str">
        <f>Validation!L9</f>
        <v>14. Gradient over a specified distance</v>
      </c>
      <c r="D44" s="544"/>
      <c r="E44" s="545"/>
      <c r="F44" s="543" t="str">
        <f>Validation!N9</f>
        <v>53. Effective width next to a tramline on straight or curved section</v>
      </c>
      <c r="G44" s="544"/>
      <c r="H44" s="544"/>
      <c r="I44" s="544"/>
      <c r="J44" s="544"/>
      <c r="K44" s="544"/>
      <c r="L44" s="544"/>
      <c r="M44" s="545"/>
      <c r="N44" s="125"/>
      <c r="T44" s="98"/>
    </row>
    <row r="45" spans="2:20" ht="17.149999999999999" customHeight="1" x14ac:dyDescent="0.4">
      <c r="B45" s="95"/>
      <c r="C45" s="543" t="str">
        <f>Validation!L11</f>
        <v>18. Appropriateness and width of shared use with cycles</v>
      </c>
      <c r="D45" s="544"/>
      <c r="E45" s="545"/>
      <c r="F45" s="543" t="str">
        <f>Validation!N10</f>
        <v>54. Crossing angle</v>
      </c>
      <c r="G45" s="544"/>
      <c r="H45" s="544"/>
      <c r="I45" s="544"/>
      <c r="J45" s="544"/>
      <c r="K45" s="544"/>
      <c r="L45" s="544"/>
      <c r="M45" s="545"/>
      <c r="N45" s="125"/>
      <c r="T45" s="98"/>
    </row>
    <row r="46" spans="2:20" ht="17.149999999999999" customHeight="1" x14ac:dyDescent="0.4">
      <c r="B46" s="95"/>
      <c r="C46" s="543" t="str">
        <f>Validation!L12</f>
        <v>19. Speed at which drivers travel</v>
      </c>
      <c r="D46" s="544"/>
      <c r="E46" s="545"/>
      <c r="F46" s="543" t="str">
        <f>Validation!N11</f>
        <v>55. Width of shared use path</v>
      </c>
      <c r="G46" s="544"/>
      <c r="H46" s="544"/>
      <c r="I46" s="544"/>
      <c r="J46" s="544"/>
      <c r="K46" s="544"/>
      <c r="L46" s="544"/>
      <c r="M46" s="545"/>
      <c r="N46" s="125"/>
      <c r="T46" s="98"/>
    </row>
    <row r="47" spans="2:20" ht="17.149999999999999" customHeight="1" x14ac:dyDescent="0.4">
      <c r="B47" s="95"/>
      <c r="C47" s="543" t="str">
        <f>Validation!L13</f>
        <v>20. Total volume of traffic (PCU's)</v>
      </c>
      <c r="D47" s="544"/>
      <c r="E47" s="545"/>
      <c r="F47" s="543" t="str">
        <f>Validation!N12</f>
        <v>56. Degree to which access controls are universally accessible</v>
      </c>
      <c r="G47" s="544"/>
      <c r="H47" s="544"/>
      <c r="I47" s="544"/>
      <c r="J47" s="544"/>
      <c r="K47" s="544"/>
      <c r="L47" s="544"/>
      <c r="M47" s="545"/>
      <c r="N47" s="125"/>
      <c r="T47" s="98"/>
    </row>
    <row r="48" spans="2:20" ht="17.149999999999999" customHeight="1" x14ac:dyDescent="0.4">
      <c r="B48" s="95"/>
      <c r="C48" s="543" t="str">
        <f>Validation!L14</f>
        <v>21. Percentage of large vehicles in peak hour</v>
      </c>
      <c r="D48" s="544"/>
      <c r="E48" s="545"/>
      <c r="F48" s="543" t="str">
        <f>Validation!N13</f>
        <v>57. Surface/construction type</v>
      </c>
      <c r="G48" s="544"/>
      <c r="H48" s="544"/>
      <c r="I48" s="544"/>
      <c r="J48" s="544"/>
      <c r="K48" s="544"/>
      <c r="L48" s="544"/>
      <c r="M48" s="545"/>
      <c r="N48" s="125"/>
      <c r="T48" s="98"/>
    </row>
    <row r="49" spans="2:20" ht="17.149999999999999" customHeight="1" x14ac:dyDescent="0.4">
      <c r="B49" s="95"/>
      <c r="C49" s="543" t="str">
        <f>Validation!L15</f>
        <v>22. Clear nearside space in secondary position or motor vehicle volume in primary position</v>
      </c>
      <c r="D49" s="544"/>
      <c r="E49" s="545"/>
      <c r="F49" s="543" t="str">
        <f>Validation!N14</f>
        <v>58. Standard of lighting</v>
      </c>
      <c r="G49" s="544"/>
      <c r="H49" s="544"/>
      <c r="I49" s="544"/>
      <c r="J49" s="544"/>
      <c r="K49" s="544"/>
      <c r="L49" s="544"/>
      <c r="M49" s="545"/>
      <c r="N49" s="125"/>
      <c r="T49" s="98"/>
    </row>
    <row r="50" spans="2:20" ht="17.149999999999999" customHeight="1" x14ac:dyDescent="0.4">
      <c r="B50" s="95"/>
      <c r="C50" s="161"/>
      <c r="D50" s="161"/>
      <c r="E50" s="161"/>
      <c r="F50" s="543" t="str">
        <f>Validation!N15</f>
        <v>59. Existing steps or new/upgraded structures</v>
      </c>
      <c r="G50" s="544"/>
      <c r="H50" s="544"/>
      <c r="I50" s="544"/>
      <c r="J50" s="544"/>
      <c r="K50" s="544"/>
      <c r="L50" s="544"/>
      <c r="M50" s="545"/>
      <c r="N50" s="125"/>
      <c r="T50" s="98"/>
    </row>
    <row r="51" spans="2:20" ht="17" x14ac:dyDescent="0.4">
      <c r="B51" s="95"/>
      <c r="C51" s="161"/>
      <c r="D51" s="161"/>
      <c r="E51" s="161"/>
      <c r="F51" s="161"/>
      <c r="G51" s="161"/>
      <c r="H51" s="161"/>
      <c r="I51" s="161"/>
      <c r="J51" s="161"/>
      <c r="K51" s="161"/>
      <c r="L51" s="161"/>
      <c r="M51" s="161"/>
      <c r="N51" s="125"/>
      <c r="T51" s="98"/>
    </row>
    <row r="52" spans="2:20" ht="17" x14ac:dyDescent="0.4">
      <c r="B52" s="95"/>
      <c r="C52" s="604" t="s">
        <v>452</v>
      </c>
      <c r="D52" s="605"/>
      <c r="E52" s="605"/>
      <c r="F52" s="605"/>
      <c r="G52" s="605"/>
      <c r="H52" s="605"/>
      <c r="I52" s="605"/>
      <c r="J52" s="605"/>
      <c r="K52" s="605"/>
      <c r="L52" s="605"/>
      <c r="M52" s="606"/>
      <c r="N52" s="125"/>
      <c r="T52" s="98"/>
    </row>
    <row r="53" spans="2:20" ht="17" x14ac:dyDescent="0.4">
      <c r="B53" s="95"/>
      <c r="C53" s="607" t="str">
        <f>Validation!P2</f>
        <v>34. Provision of secure cycle parking on-street and off-street</v>
      </c>
      <c r="D53" s="608"/>
      <c r="E53" s="608"/>
      <c r="F53" s="608"/>
      <c r="G53" s="608"/>
      <c r="H53" s="608"/>
      <c r="I53" s="608"/>
      <c r="J53" s="608"/>
      <c r="K53" s="608"/>
      <c r="L53" s="608"/>
      <c r="M53" s="609"/>
      <c r="N53" s="125"/>
      <c r="T53" s="98"/>
    </row>
    <row r="54" spans="2:20" ht="17" x14ac:dyDescent="0.4">
      <c r="B54" s="95"/>
      <c r="C54" s="607" t="str">
        <f>Validation!P3</f>
        <v>35. Quantity/coverage, continuity and quality of green and blue infrastructure to support local nature recovery</v>
      </c>
      <c r="D54" s="608"/>
      <c r="E54" s="608"/>
      <c r="F54" s="608"/>
      <c r="G54" s="608"/>
      <c r="H54" s="608"/>
      <c r="I54" s="608"/>
      <c r="J54" s="608"/>
      <c r="K54" s="608"/>
      <c r="L54" s="608"/>
      <c r="M54" s="609"/>
      <c r="N54" s="125"/>
      <c r="T54" s="98"/>
    </row>
    <row r="55" spans="2:20" ht="17" x14ac:dyDescent="0.4">
      <c r="B55" s="95"/>
      <c r="C55" s="607" t="str">
        <f>Validation!P4</f>
        <v>36. Functionality of green and blue infrastructure in providing resilience to extreme weather events</v>
      </c>
      <c r="D55" s="608"/>
      <c r="E55" s="608"/>
      <c r="F55" s="608"/>
      <c r="G55" s="608"/>
      <c r="H55" s="608"/>
      <c r="I55" s="608"/>
      <c r="J55" s="608"/>
      <c r="K55" s="608"/>
      <c r="L55" s="608"/>
      <c r="M55" s="609"/>
      <c r="N55" s="125"/>
      <c r="T55" s="98"/>
    </row>
    <row r="56" spans="2:20" ht="17" x14ac:dyDescent="0.4">
      <c r="B56" s="95"/>
      <c r="C56" s="607" t="str">
        <f>Validation!P5</f>
        <v>47. Street design influences bus journey time and reliability</v>
      </c>
      <c r="D56" s="608"/>
      <c r="E56" s="608"/>
      <c r="F56" s="608"/>
      <c r="G56" s="608"/>
      <c r="H56" s="608"/>
      <c r="I56" s="608"/>
      <c r="J56" s="608"/>
      <c r="K56" s="608"/>
      <c r="L56" s="608"/>
      <c r="M56" s="609"/>
      <c r="N56" s="125"/>
      <c r="T56" s="98"/>
    </row>
    <row r="57" spans="2:20" ht="17" x14ac:dyDescent="0.4">
      <c r="B57" s="95"/>
      <c r="C57" s="607" t="str">
        <f>Validation!P6</f>
        <v>49. Waiting space, shelter and seating at bus stop</v>
      </c>
      <c r="D57" s="608"/>
      <c r="E57" s="608"/>
      <c r="F57" s="608"/>
      <c r="G57" s="608"/>
      <c r="H57" s="608"/>
      <c r="I57" s="608"/>
      <c r="J57" s="608"/>
      <c r="K57" s="608"/>
      <c r="L57" s="608"/>
      <c r="M57" s="609"/>
      <c r="N57" s="125"/>
      <c r="T57" s="98"/>
    </row>
    <row r="58" spans="2:20" ht="17" x14ac:dyDescent="0.4">
      <c r="B58" s="95"/>
      <c r="C58" s="607" t="str">
        <f>Validation!P7</f>
        <v>50. Customer information at bus stop</v>
      </c>
      <c r="D58" s="608"/>
      <c r="E58" s="608"/>
      <c r="F58" s="608"/>
      <c r="G58" s="608"/>
      <c r="H58" s="608"/>
      <c r="I58" s="608"/>
      <c r="J58" s="608"/>
      <c r="K58" s="608"/>
      <c r="L58" s="608"/>
      <c r="M58" s="609"/>
      <c r="N58" s="125"/>
      <c r="T58" s="98"/>
    </row>
    <row r="59" spans="2:20" ht="17" x14ac:dyDescent="0.4">
      <c r="B59" s="95"/>
      <c r="C59" s="607" t="str">
        <f>Validation!P8</f>
        <v>52. Bus priority measures - bus lanes, bus gates etc.</v>
      </c>
      <c r="D59" s="608"/>
      <c r="E59" s="608"/>
      <c r="F59" s="608"/>
      <c r="G59" s="608"/>
      <c r="H59" s="608"/>
      <c r="I59" s="608"/>
      <c r="J59" s="608"/>
      <c r="K59" s="608"/>
      <c r="L59" s="608"/>
      <c r="M59" s="609"/>
      <c r="N59" s="125"/>
      <c r="T59" s="98"/>
    </row>
    <row r="60" spans="2:20" ht="15" thickBot="1" x14ac:dyDescent="0.4">
      <c r="B60" s="126"/>
      <c r="C60" s="127"/>
      <c r="D60" s="127"/>
      <c r="E60" s="127"/>
      <c r="F60" s="127"/>
      <c r="G60" s="127"/>
      <c r="H60" s="127"/>
      <c r="I60" s="127"/>
      <c r="J60" s="127"/>
      <c r="K60" s="127"/>
      <c r="L60" s="127"/>
      <c r="M60" s="127"/>
      <c r="N60" s="127"/>
      <c r="O60" s="127"/>
      <c r="P60" s="127"/>
      <c r="Q60" s="127"/>
      <c r="R60" s="127"/>
      <c r="S60" s="127"/>
      <c r="T60" s="128"/>
    </row>
    <row r="61" spans="2:20" ht="8.15" customHeight="1" x14ac:dyDescent="0.35"/>
    <row r="62" spans="2:20" ht="9.65" hidden="1" customHeight="1" x14ac:dyDescent="0.35"/>
  </sheetData>
  <mergeCells count="116">
    <mergeCell ref="C55:M55"/>
    <mergeCell ref="C56:M56"/>
    <mergeCell ref="C57:M57"/>
    <mergeCell ref="C58:M58"/>
    <mergeCell ref="C59:M59"/>
    <mergeCell ref="C49:E49"/>
    <mergeCell ref="F49:M49"/>
    <mergeCell ref="F50:M50"/>
    <mergeCell ref="C52:M52"/>
    <mergeCell ref="C53:M53"/>
    <mergeCell ref="C54:M54"/>
    <mergeCell ref="C46:E46"/>
    <mergeCell ref="F46:M46"/>
    <mergeCell ref="C47:E47"/>
    <mergeCell ref="F47:M47"/>
    <mergeCell ref="C48:E48"/>
    <mergeCell ref="F48:M48"/>
    <mergeCell ref="C43:E43"/>
    <mergeCell ref="F43:M43"/>
    <mergeCell ref="C44:E44"/>
    <mergeCell ref="F44:M44"/>
    <mergeCell ref="C45:E45"/>
    <mergeCell ref="F45:M45"/>
    <mergeCell ref="C40:E40"/>
    <mergeCell ref="F40:M40"/>
    <mergeCell ref="C41:E41"/>
    <mergeCell ref="F41:M41"/>
    <mergeCell ref="C42:E42"/>
    <mergeCell ref="F42:M42"/>
    <mergeCell ref="C37:E37"/>
    <mergeCell ref="F37:M37"/>
    <mergeCell ref="C38:E38"/>
    <mergeCell ref="F38:M38"/>
    <mergeCell ref="C39:E39"/>
    <mergeCell ref="F39:M39"/>
    <mergeCell ref="H32:I32"/>
    <mergeCell ref="K32:L32"/>
    <mergeCell ref="H33:I33"/>
    <mergeCell ref="K33:L33"/>
    <mergeCell ref="C35:M35"/>
    <mergeCell ref="C36:E36"/>
    <mergeCell ref="F36:M36"/>
    <mergeCell ref="H29:I29"/>
    <mergeCell ref="K29:L29"/>
    <mergeCell ref="H30:I30"/>
    <mergeCell ref="K30:L30"/>
    <mergeCell ref="H31:I31"/>
    <mergeCell ref="K31:L31"/>
    <mergeCell ref="H25:I25"/>
    <mergeCell ref="K25:L25"/>
    <mergeCell ref="C26:M26"/>
    <mergeCell ref="H27:I27"/>
    <mergeCell ref="K27:L27"/>
    <mergeCell ref="H28:I28"/>
    <mergeCell ref="K28:L28"/>
    <mergeCell ref="H22:I22"/>
    <mergeCell ref="K22:L22"/>
    <mergeCell ref="H23:I23"/>
    <mergeCell ref="K23:L23"/>
    <mergeCell ref="H24:I24"/>
    <mergeCell ref="K24:L24"/>
    <mergeCell ref="C18:M18"/>
    <mergeCell ref="H19:I19"/>
    <mergeCell ref="K19:L19"/>
    <mergeCell ref="H20:I20"/>
    <mergeCell ref="K20:L20"/>
    <mergeCell ref="H21:I21"/>
    <mergeCell ref="K21:L21"/>
    <mergeCell ref="C15:C16"/>
    <mergeCell ref="E15:E16"/>
    <mergeCell ref="F15:J15"/>
    <mergeCell ref="K15:L16"/>
    <mergeCell ref="M15:M16"/>
    <mergeCell ref="H16:I16"/>
    <mergeCell ref="E12:F12"/>
    <mergeCell ref="G12:H12"/>
    <mergeCell ref="I12:J12"/>
    <mergeCell ref="K12:M12"/>
    <mergeCell ref="E13:F13"/>
    <mergeCell ref="G13:H13"/>
    <mergeCell ref="I13:J13"/>
    <mergeCell ref="K13:M13"/>
    <mergeCell ref="E10:F10"/>
    <mergeCell ref="G10:H10"/>
    <mergeCell ref="I10:J10"/>
    <mergeCell ref="K10:M10"/>
    <mergeCell ref="E11:F11"/>
    <mergeCell ref="G11:H11"/>
    <mergeCell ref="I11:J11"/>
    <mergeCell ref="K11:M11"/>
    <mergeCell ref="P8:Q8"/>
    <mergeCell ref="R8:S8"/>
    <mergeCell ref="E9:F9"/>
    <mergeCell ref="G9:H9"/>
    <mergeCell ref="I9:J9"/>
    <mergeCell ref="K9:M9"/>
    <mergeCell ref="P9:Q9"/>
    <mergeCell ref="R9:S9"/>
    <mergeCell ref="E7:F7"/>
    <mergeCell ref="G7:H7"/>
    <mergeCell ref="I7:J7"/>
    <mergeCell ref="K7:M7"/>
    <mergeCell ref="E8:F8"/>
    <mergeCell ref="G8:H8"/>
    <mergeCell ref="I8:J8"/>
    <mergeCell ref="K8:M8"/>
    <mergeCell ref="C5:C6"/>
    <mergeCell ref="E5:H5"/>
    <mergeCell ref="I5:M5"/>
    <mergeCell ref="O5:O6"/>
    <mergeCell ref="P5:Q5"/>
    <mergeCell ref="R5:S5"/>
    <mergeCell ref="E6:F6"/>
    <mergeCell ref="G6:H6"/>
    <mergeCell ref="I6:J6"/>
    <mergeCell ref="K6:M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68" id="{C20AA969-77CB-43C0-87E9-5A1277F08C39}">
            <xm:f>INDEX(Scoring!S:S,MATCH(C36,Scoring!$BA:$BA,0))="A"</xm:f>
            <x14:dxf>
              <font>
                <b/>
                <i/>
                <color rgb="FFC00000"/>
              </font>
              <fill>
                <patternFill patternType="none">
                  <bgColor auto="1"/>
                </patternFill>
              </fill>
            </x14:dxf>
          </x14:cfRule>
          <xm:sqref>C36:C51</xm:sqref>
        </x14:conditionalFormatting>
        <x14:conditionalFormatting xmlns:xm="http://schemas.microsoft.com/office/excel/2006/main">
          <x14:cfRule type="expression" priority="1" id="{3215172C-061B-4949-B5A3-D05D296E3DB0}">
            <xm:f>INDEX(Scoring!AX:AX,MATCH(C53,Scoring!$BA:$BA,0))="Residual Amber"</xm:f>
            <x14:dxf>
              <font>
                <b/>
                <i/>
                <color theme="7" tint="-0.24994659260841701"/>
              </font>
            </x14:dxf>
          </x14:cfRule>
          <xm:sqref>C53:M59</xm:sqref>
        </x14:conditionalFormatting>
        <x14:conditionalFormatting xmlns:xm="http://schemas.microsoft.com/office/excel/2006/main">
          <x14:cfRule type="expression" priority="1869" id="{4036DEE6-1535-4F04-8327-1ECBC17E1C61}">
            <xm:f>INDEX(Scoring!S:S,MATCH(F36,Scoring!$BA:$BA,0))="A"</xm:f>
            <x14:dxf>
              <font>
                <b/>
                <i/>
                <color rgb="FFC00000"/>
              </font>
            </x14:dxf>
          </x14:cfRule>
          <xm:sqref>F36:F51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2FCE-756D-4289-B260-180859D07825}">
  <sheetPr>
    <tabColor rgb="FFFF7D7D"/>
    <pageSetUpPr autoPageBreaks="0"/>
  </sheetPr>
  <dimension ref="A1:XEQ47"/>
  <sheetViews>
    <sheetView zoomScale="60" zoomScaleNormal="60" workbookViewId="0">
      <selection activeCell="E8" sqref="E8:F8"/>
    </sheetView>
  </sheetViews>
  <sheetFormatPr defaultColWidth="0" defaultRowHeight="0" customHeight="1" zeroHeight="1" x14ac:dyDescent="0.35"/>
  <cols>
    <col min="1" max="2" width="1.453125" style="2" customWidth="1"/>
    <col min="3" max="3" width="54.81640625" style="2" customWidth="1"/>
    <col min="4" max="4" width="12.81640625" style="2" hidden="1" customWidth="1"/>
    <col min="5" max="5" width="10.81640625" style="2" customWidth="1"/>
    <col min="6" max="6" width="14.1796875" style="2" customWidth="1"/>
    <col min="7" max="7" width="14.54296875" style="2" customWidth="1"/>
    <col min="8" max="9" width="7.1796875" style="2" customWidth="1"/>
    <col min="10" max="10" width="19.81640625" style="2" customWidth="1"/>
    <col min="11" max="12" width="6.1796875" style="2" customWidth="1"/>
    <col min="13" max="13" width="11.81640625" style="2" bestFit="1" customWidth="1"/>
    <col min="14" max="19" width="1.81640625" style="2" customWidth="1"/>
    <col min="20" max="20" width="42.81640625" style="2" customWidth="1"/>
    <col min="21" max="21" width="20.54296875" style="2" hidden="1" customWidth="1"/>
    <col min="22" max="30" width="10.81640625" style="2" customWidth="1"/>
    <col min="31" max="31" width="9.1796875" style="2" customWidth="1"/>
    <col min="32" max="32" width="2.453125" style="2" customWidth="1"/>
    <col min="33" max="16371" width="9.1796875" style="2" hidden="1"/>
    <col min="16372" max="16384" width="11.1796875" style="2" hidden="1"/>
  </cols>
  <sheetData>
    <row r="1" spans="2:31" ht="8.15" customHeight="1" thickBot="1" x14ac:dyDescent="0.4"/>
    <row r="2" spans="2:31" ht="8.5" customHeight="1" x14ac:dyDescent="0.35">
      <c r="B2" s="92"/>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4"/>
    </row>
    <row r="3" spans="2:31" ht="55.4" customHeight="1" x14ac:dyDescent="0.35">
      <c r="B3" s="95"/>
      <c r="C3" s="377" t="s">
        <v>932</v>
      </c>
      <c r="D3" s="378"/>
      <c r="E3" s="378"/>
      <c r="F3" s="378"/>
      <c r="G3" s="378"/>
      <c r="H3" s="378"/>
      <c r="I3" s="378"/>
      <c r="J3" s="378"/>
      <c r="K3" s="378"/>
      <c r="L3" s="378"/>
      <c r="M3" s="378"/>
      <c r="N3" s="378"/>
      <c r="O3" s="378"/>
      <c r="P3" s="378"/>
      <c r="Q3" s="378"/>
      <c r="R3" s="378"/>
      <c r="S3" s="378"/>
      <c r="T3" s="378"/>
      <c r="U3" s="378"/>
      <c r="V3" s="378"/>
      <c r="W3" s="378"/>
      <c r="X3" s="378" t="s">
        <v>960</v>
      </c>
      <c r="Y3" s="378"/>
      <c r="Z3" s="378"/>
      <c r="AA3" s="408"/>
      <c r="AB3" s="408" t="s">
        <v>1260</v>
      </c>
      <c r="AC3" s="378"/>
      <c r="AD3" s="378"/>
      <c r="AE3" s="98"/>
    </row>
    <row r="4" spans="2:31" ht="8.5" customHeight="1" x14ac:dyDescent="0.35">
      <c r="B4" s="95"/>
      <c r="AE4" s="98"/>
    </row>
    <row r="5" spans="2:31" ht="17.5" customHeight="1" x14ac:dyDescent="0.35">
      <c r="B5" s="95"/>
      <c r="C5" s="610" t="s">
        <v>947</v>
      </c>
      <c r="D5" s="379"/>
      <c r="E5" s="611" t="s">
        <v>1264</v>
      </c>
      <c r="F5" s="611"/>
      <c r="G5" s="611"/>
      <c r="H5" s="611"/>
      <c r="I5" s="614" t="s">
        <v>1265</v>
      </c>
      <c r="J5" s="614"/>
      <c r="K5" s="614"/>
      <c r="L5" s="614"/>
      <c r="M5" s="614"/>
      <c r="T5" s="610" t="s">
        <v>948</v>
      </c>
      <c r="U5" s="379"/>
      <c r="V5" s="611" t="s">
        <v>1264</v>
      </c>
      <c r="W5" s="611"/>
      <c r="X5" s="611"/>
      <c r="Y5" s="611"/>
      <c r="Z5" s="614" t="s">
        <v>1265</v>
      </c>
      <c r="AA5" s="614"/>
      <c r="AB5" s="614"/>
      <c r="AC5" s="614"/>
      <c r="AD5" s="614"/>
      <c r="AE5" s="98"/>
    </row>
    <row r="6" spans="2:31" ht="17" x14ac:dyDescent="0.35">
      <c r="B6" s="95"/>
      <c r="C6" s="610" t="s">
        <v>293</v>
      </c>
      <c r="D6" s="379"/>
      <c r="E6" s="611" t="s">
        <v>294</v>
      </c>
      <c r="F6" s="611"/>
      <c r="G6" s="612" t="s">
        <v>295</v>
      </c>
      <c r="H6" s="612"/>
      <c r="I6" s="613" t="s">
        <v>294</v>
      </c>
      <c r="J6" s="613"/>
      <c r="K6" s="614" t="s">
        <v>295</v>
      </c>
      <c r="L6" s="614"/>
      <c r="M6" s="614"/>
      <c r="T6" s="610" t="s">
        <v>293</v>
      </c>
      <c r="U6" s="379"/>
      <c r="V6" s="611" t="s">
        <v>294</v>
      </c>
      <c r="W6" s="611"/>
      <c r="X6" s="612" t="s">
        <v>295</v>
      </c>
      <c r="Y6" s="612"/>
      <c r="Z6" s="613" t="s">
        <v>294</v>
      </c>
      <c r="AA6" s="613"/>
      <c r="AB6" s="614" t="s">
        <v>295</v>
      </c>
      <c r="AC6" s="614"/>
      <c r="AD6" s="614"/>
      <c r="AE6" s="98"/>
    </row>
    <row r="7" spans="2:31" ht="17" x14ac:dyDescent="0.4">
      <c r="B7" s="95"/>
      <c r="C7" s="380" t="s">
        <v>717</v>
      </c>
      <c r="D7" s="380" t="s">
        <v>297</v>
      </c>
      <c r="E7" s="615" t="str">
        <f>Scoring!$BU$88&amp;"/"&amp;Scoring!$BW$88</f>
        <v>0/42</v>
      </c>
      <c r="F7" s="616"/>
      <c r="G7" s="612">
        <f>IFERROR(Scoring!$BU$88/Scoring!$BW$88,"N/A")</f>
        <v>0</v>
      </c>
      <c r="H7" s="612"/>
      <c r="I7" s="617" t="str">
        <f>Scoring!$BV$88&amp;"/"&amp;Scoring!$BW$88</f>
        <v>0/42</v>
      </c>
      <c r="J7" s="617"/>
      <c r="K7" s="612">
        <f>IFERROR(Scoring!$BV$88/Scoring!$BW$88,"N/A")</f>
        <v>0</v>
      </c>
      <c r="L7" s="612"/>
      <c r="M7" s="612"/>
      <c r="T7" s="380" t="s">
        <v>725</v>
      </c>
      <c r="U7" s="380" t="s">
        <v>297</v>
      </c>
      <c r="V7" s="617" t="str">
        <f>Scoring!$BB$88&amp;"/"&amp;Scoring!$BD$88</f>
        <v>0/62</v>
      </c>
      <c r="W7" s="617"/>
      <c r="X7" s="612">
        <f>IFERROR(Scoring!$BB$88/Scoring!BD$88,"N/A")</f>
        <v>0</v>
      </c>
      <c r="Y7" s="612"/>
      <c r="Z7" s="617" t="str">
        <f>Scoring!$BC$88&amp;"/"&amp;Scoring!$BD$88</f>
        <v>0/62</v>
      </c>
      <c r="AA7" s="617"/>
      <c r="AB7" s="612">
        <f>IFERROR(Scoring!$BC$88/Scoring!BD$88,"N/A")</f>
        <v>0</v>
      </c>
      <c r="AC7" s="612"/>
      <c r="AD7" s="612"/>
      <c r="AE7" s="98"/>
    </row>
    <row r="8" spans="2:31" ht="17" x14ac:dyDescent="0.4">
      <c r="B8" s="95"/>
      <c r="C8" s="380" t="s">
        <v>674</v>
      </c>
      <c r="D8" s="380" t="s">
        <v>300</v>
      </c>
      <c r="E8" s="615" t="str">
        <f>Scoring!$BX$88&amp;"/"&amp;Scoring!$BZ$88</f>
        <v>0/14</v>
      </c>
      <c r="F8" s="616"/>
      <c r="G8" s="612">
        <f>IFERROR(Scoring!$BX$88/Scoring!$BZ$88,"N/A")</f>
        <v>0</v>
      </c>
      <c r="H8" s="612"/>
      <c r="I8" s="617" t="str">
        <f>Scoring!$BY$88&amp;"/"&amp;Scoring!$BZ$88</f>
        <v>0/14</v>
      </c>
      <c r="J8" s="617"/>
      <c r="K8" s="612">
        <f>IFERROR(Scoring!$BY$88/Scoring!$BZ$88,"N/A")</f>
        <v>0</v>
      </c>
      <c r="L8" s="612"/>
      <c r="M8" s="612"/>
      <c r="T8" s="380" t="s">
        <v>801</v>
      </c>
      <c r="U8" s="380" t="s">
        <v>300</v>
      </c>
      <c r="V8" s="617" t="str">
        <f>Scoring!$BE$88&amp;"/"&amp;Scoring!$BG$88</f>
        <v>0/72</v>
      </c>
      <c r="W8" s="617"/>
      <c r="X8" s="612">
        <f>IFERROR(Scoring!$BE$88/Scoring!BG$88,"N/A")</f>
        <v>0</v>
      </c>
      <c r="Y8" s="612"/>
      <c r="Z8" s="617" t="str">
        <f>Scoring!$BF$88&amp;"/"&amp;Scoring!$BG$88</f>
        <v>0/72</v>
      </c>
      <c r="AA8" s="617"/>
      <c r="AB8" s="612">
        <f>IFERROR(Scoring!$BF$88/Scoring!BG$88,"N/A")</f>
        <v>0</v>
      </c>
      <c r="AC8" s="612"/>
      <c r="AD8" s="612"/>
      <c r="AE8" s="98"/>
    </row>
    <row r="9" spans="2:31" ht="17" x14ac:dyDescent="0.4">
      <c r="B9" s="95"/>
      <c r="C9" s="380" t="s">
        <v>800</v>
      </c>
      <c r="D9" s="380" t="s">
        <v>302</v>
      </c>
      <c r="E9" s="615" t="str">
        <f>Scoring!$CA$88&amp;"/"&amp;Scoring!$CC$88</f>
        <v>0/38</v>
      </c>
      <c r="F9" s="616"/>
      <c r="G9" s="612">
        <f>IFERROR(Scoring!$CA$88/Scoring!$CC$88,"N/A")</f>
        <v>0</v>
      </c>
      <c r="H9" s="612"/>
      <c r="I9" s="615" t="str">
        <f>Scoring!$CB$88&amp;"/"&amp;Scoring!$CC$88</f>
        <v>0/38</v>
      </c>
      <c r="J9" s="616"/>
      <c r="K9" s="612">
        <f>IFERROR(Scoring!$CB$88/Scoring!$CC$88,"N/A")</f>
        <v>0</v>
      </c>
      <c r="L9" s="612"/>
      <c r="M9" s="612"/>
      <c r="T9" s="380" t="s">
        <v>798</v>
      </c>
      <c r="U9" s="380" t="s">
        <v>302</v>
      </c>
      <c r="V9" s="617" t="str">
        <f>Scoring!$BH$88&amp;"/"&amp;Scoring!$BJ$88</f>
        <v>0/70</v>
      </c>
      <c r="W9" s="617"/>
      <c r="X9" s="612">
        <f>IFERROR(Scoring!$BH$88/Scoring!BJ$88,"N/A")</f>
        <v>0</v>
      </c>
      <c r="Y9" s="612"/>
      <c r="Z9" s="617" t="str">
        <f>Scoring!$BI$88&amp;"/"&amp;Scoring!$BJ$88</f>
        <v>0/70</v>
      </c>
      <c r="AA9" s="617"/>
      <c r="AB9" s="612">
        <f>IFERROR(Scoring!$BI$88/Scoring!BJ$88,"N/A")</f>
        <v>0</v>
      </c>
      <c r="AC9" s="612"/>
      <c r="AD9" s="612"/>
      <c r="AE9" s="98"/>
    </row>
    <row r="10" spans="2:31" ht="17" x14ac:dyDescent="0.4">
      <c r="B10" s="95"/>
      <c r="C10" s="380" t="s">
        <v>608</v>
      </c>
      <c r="D10" s="380" t="s">
        <v>304</v>
      </c>
      <c r="E10" s="615" t="str">
        <f>Scoring!$CD$88&amp;"/"&amp;Scoring!$CF$88</f>
        <v>0/56</v>
      </c>
      <c r="F10" s="616"/>
      <c r="G10" s="612">
        <f>IFERROR(Scoring!$CD$88/Scoring!$CF$88,"N/A")</f>
        <v>0</v>
      </c>
      <c r="H10" s="612"/>
      <c r="I10" s="615" t="str">
        <f>Scoring!$CE$88&amp;"/"&amp;Scoring!$CF$88</f>
        <v>0/56</v>
      </c>
      <c r="J10" s="616"/>
      <c r="K10" s="612">
        <f>IFERROR(Scoring!$CE$88/Scoring!$CF$88,"N/A")</f>
        <v>0</v>
      </c>
      <c r="L10" s="612"/>
      <c r="M10" s="612"/>
      <c r="T10" s="380" t="s">
        <v>799</v>
      </c>
      <c r="U10" s="380" t="s">
        <v>304</v>
      </c>
      <c r="V10" s="617" t="str">
        <f>Scoring!$BK$88&amp;"/"&amp;Scoring!$BM$88</f>
        <v>0/26</v>
      </c>
      <c r="W10" s="617"/>
      <c r="X10" s="612">
        <f>IFERROR(Scoring!$BK$88/Scoring!BM$88,"N/A")</f>
        <v>0</v>
      </c>
      <c r="Y10" s="612"/>
      <c r="Z10" s="617" t="str">
        <f>Scoring!$BL$88&amp;"/"&amp;Scoring!$BM$88</f>
        <v>0/26</v>
      </c>
      <c r="AA10" s="617"/>
      <c r="AB10" s="612">
        <f>IFERROR(Scoring!$BL$88/Scoring!BM$88,"N/A")</f>
        <v>0</v>
      </c>
      <c r="AC10" s="612"/>
      <c r="AD10" s="612"/>
      <c r="AE10" s="98"/>
    </row>
    <row r="11" spans="2:31" ht="17" x14ac:dyDescent="0.4">
      <c r="B11" s="95"/>
      <c r="C11" s="380" t="s">
        <v>729</v>
      </c>
      <c r="D11" s="380" t="s">
        <v>306</v>
      </c>
      <c r="E11" s="615" t="str">
        <f>Scoring!$CG$88&amp;"/"&amp;Scoring!$CI$88</f>
        <v>0/50</v>
      </c>
      <c r="F11" s="616"/>
      <c r="G11" s="612">
        <f>IFERROR(Scoring!$CG$88/Scoring!$CI$88,"N/A")</f>
        <v>0</v>
      </c>
      <c r="H11" s="612"/>
      <c r="I11" s="615" t="str">
        <f>Scoring!$CH$88&amp;"/"&amp;Scoring!$CI$88</f>
        <v>0/50</v>
      </c>
      <c r="J11" s="616"/>
      <c r="K11" s="612">
        <f>IFERROR(Scoring!$CH$88/Scoring!$CI$88,"N/A")</f>
        <v>0</v>
      </c>
      <c r="L11" s="612"/>
      <c r="M11" s="612"/>
      <c r="T11" s="380" t="s">
        <v>728</v>
      </c>
      <c r="U11" s="380" t="s">
        <v>306</v>
      </c>
      <c r="V11" s="617" t="str">
        <f>Scoring!$BN$88&amp;"/"&amp;Scoring!$BP$88</f>
        <v>0/54</v>
      </c>
      <c r="W11" s="617"/>
      <c r="X11" s="612">
        <f>IFERROR(Scoring!$BN$88/Scoring!BP$88,"N/A")</f>
        <v>0</v>
      </c>
      <c r="Y11" s="612"/>
      <c r="Z11" s="617" t="str">
        <f>Scoring!$BO$88&amp;"/"&amp;Scoring!$BP$88</f>
        <v>0/54</v>
      </c>
      <c r="AA11" s="617"/>
      <c r="AB11" s="612">
        <f>IFERROR(Scoring!$BO88/Scoring!BP$88,"N/A")</f>
        <v>0</v>
      </c>
      <c r="AC11" s="612"/>
      <c r="AD11" s="612"/>
      <c r="AE11" s="98"/>
    </row>
    <row r="12" spans="2:31" ht="17" x14ac:dyDescent="0.4">
      <c r="B12" s="95"/>
      <c r="C12" s="380" t="s">
        <v>792</v>
      </c>
      <c r="D12" s="380" t="s">
        <v>308</v>
      </c>
      <c r="E12" s="615" t="str">
        <f>Scoring!$CJ$88&amp;"/"&amp;Scoring!$CL$88</f>
        <v>0/46</v>
      </c>
      <c r="F12" s="616"/>
      <c r="G12" s="612">
        <f>IFERROR(Scoring!$CJ$88/Scoring!$CL$88,"N/A")</f>
        <v>0</v>
      </c>
      <c r="H12" s="612"/>
      <c r="I12" s="615" t="str">
        <f>Scoring!$CK$88&amp;"/"&amp;Scoring!$CL$88</f>
        <v>0/46</v>
      </c>
      <c r="J12" s="616"/>
      <c r="K12" s="612">
        <f>IFERROR(Scoring!$CK$88/Scoring!$CL$88,"N/A")</f>
        <v>0</v>
      </c>
      <c r="L12" s="612"/>
      <c r="M12" s="612"/>
      <c r="T12" s="380" t="s">
        <v>726</v>
      </c>
      <c r="U12" s="380" t="s">
        <v>308</v>
      </c>
      <c r="V12" s="617" t="str">
        <f>Scoring!$BQ$88&amp;"/"&amp;Scoring!$BS$88</f>
        <v>0/18</v>
      </c>
      <c r="W12" s="617"/>
      <c r="X12" s="612">
        <f>IFERROR(Scoring!$BQ$88/Scoring!BS$88,"N/A")</f>
        <v>0</v>
      </c>
      <c r="Y12" s="612"/>
      <c r="Z12" s="617" t="str">
        <f>Scoring!$BR$88&amp;"/"&amp;Scoring!$BS$88</f>
        <v>0/18</v>
      </c>
      <c r="AA12" s="617"/>
      <c r="AB12" s="612">
        <f>IFERROR(Scoring!$BR$88/Scoring!BS$88,"N/A")</f>
        <v>0</v>
      </c>
      <c r="AC12" s="612"/>
      <c r="AD12" s="612"/>
      <c r="AE12" s="98"/>
    </row>
    <row r="13" spans="2:31" ht="19.899999999999999" customHeight="1" x14ac:dyDescent="0.4">
      <c r="B13" s="95"/>
      <c r="C13" s="380" t="s">
        <v>730</v>
      </c>
      <c r="D13" s="380" t="s">
        <v>310</v>
      </c>
      <c r="E13" s="615" t="str">
        <f>Scoring!$CM$88&amp;"/"&amp;Scoring!$CO$88</f>
        <v>0/34</v>
      </c>
      <c r="F13" s="616"/>
      <c r="G13" s="612">
        <f>IFERROR(Scoring!$CM$88/Scoring!$CO$88,"N/A")</f>
        <v>0</v>
      </c>
      <c r="H13" s="612"/>
      <c r="I13" s="615" t="str">
        <f>Scoring!$CN$88&amp;"/"&amp;Scoring!$CO$88</f>
        <v>0/34</v>
      </c>
      <c r="J13" s="616"/>
      <c r="K13" s="612">
        <f>IFERROR(Scoring!$CN$88/Scoring!$CO$88,"N/A")</f>
        <v>0</v>
      </c>
      <c r="L13" s="612"/>
      <c r="M13" s="612"/>
      <c r="N13" s="107"/>
      <c r="O13" s="107"/>
      <c r="P13" s="107"/>
      <c r="Q13" s="107"/>
      <c r="R13" s="107"/>
      <c r="S13" s="107"/>
      <c r="T13" s="347"/>
      <c r="U13" s="347"/>
      <c r="V13" s="598"/>
      <c r="W13" s="598"/>
      <c r="X13" s="599"/>
      <c r="Y13" s="599"/>
      <c r="Z13" s="598"/>
      <c r="AA13" s="598"/>
      <c r="AB13" s="599"/>
      <c r="AC13" s="599"/>
      <c r="AD13" s="599"/>
      <c r="AE13" s="98"/>
    </row>
    <row r="14" spans="2:31" ht="21" customHeight="1" x14ac:dyDescent="0.35">
      <c r="B14" s="95"/>
      <c r="AE14" s="98"/>
    </row>
    <row r="15" spans="2:31" ht="35.5" customHeight="1" x14ac:dyDescent="0.35">
      <c r="B15" s="95"/>
      <c r="C15" s="618"/>
      <c r="D15" s="359"/>
      <c r="E15" s="620"/>
      <c r="F15" s="621"/>
      <c r="G15" s="621"/>
      <c r="H15" s="621"/>
      <c r="I15" s="621"/>
      <c r="J15" s="621"/>
      <c r="K15" s="620"/>
      <c r="L15" s="620"/>
      <c r="M15" s="622"/>
      <c r="N15" s="108"/>
      <c r="O15" s="108"/>
      <c r="P15" s="108"/>
      <c r="Q15" s="108"/>
      <c r="R15" s="108"/>
      <c r="S15" s="108"/>
      <c r="T15" s="366"/>
      <c r="U15" s="367"/>
      <c r="V15" s="367"/>
      <c r="W15" s="367"/>
      <c r="X15" s="367"/>
      <c r="Y15" s="367"/>
      <c r="Z15" s="367"/>
      <c r="AA15" s="367"/>
      <c r="AB15" s="367"/>
      <c r="AC15" s="367"/>
      <c r="AD15" s="368"/>
      <c r="AE15" s="98"/>
    </row>
    <row r="16" spans="2:31" ht="17" hidden="1" x14ac:dyDescent="0.35">
      <c r="B16" s="95"/>
      <c r="C16" s="619"/>
      <c r="D16" s="349"/>
      <c r="E16" s="467"/>
      <c r="F16" s="356"/>
      <c r="G16" s="356"/>
      <c r="H16" s="624"/>
      <c r="I16" s="624"/>
      <c r="J16" s="356"/>
      <c r="K16" s="467"/>
      <c r="L16" s="467"/>
      <c r="M16" s="623"/>
      <c r="N16" s="108"/>
      <c r="O16" s="108"/>
      <c r="P16" s="108"/>
      <c r="Q16" s="108"/>
      <c r="R16" s="108"/>
      <c r="S16" s="108"/>
      <c r="T16" s="364"/>
      <c r="AD16" s="365"/>
      <c r="AE16" s="98"/>
    </row>
    <row r="17" spans="2:31" ht="70.900000000000006" customHeight="1" x14ac:dyDescent="0.35">
      <c r="B17" s="95"/>
      <c r="C17" s="360"/>
      <c r="D17" s="349"/>
      <c r="E17" s="108"/>
      <c r="F17" s="356"/>
      <c r="G17" s="356"/>
      <c r="H17" s="356"/>
      <c r="I17" s="356"/>
      <c r="J17" s="356"/>
      <c r="K17" s="108"/>
      <c r="L17" s="108"/>
      <c r="M17" s="361"/>
      <c r="N17" s="108"/>
      <c r="O17" s="108"/>
      <c r="P17" s="108"/>
      <c r="Q17" s="108"/>
      <c r="R17" s="108"/>
      <c r="S17" s="108"/>
      <c r="T17" s="364"/>
      <c r="AD17" s="365"/>
      <c r="AE17" s="98"/>
    </row>
    <row r="18" spans="2:31" ht="17.5" customHeight="1" x14ac:dyDescent="0.35">
      <c r="B18" s="95"/>
      <c r="C18" s="626"/>
      <c r="D18" s="558"/>
      <c r="E18" s="558"/>
      <c r="F18" s="558"/>
      <c r="G18" s="558"/>
      <c r="H18" s="558"/>
      <c r="I18" s="558"/>
      <c r="J18" s="558"/>
      <c r="K18" s="558"/>
      <c r="L18" s="558"/>
      <c r="M18" s="627"/>
      <c r="N18" s="115"/>
      <c r="O18" s="115"/>
      <c r="P18" s="115"/>
      <c r="Q18" s="115"/>
      <c r="R18" s="115"/>
      <c r="S18" s="115"/>
      <c r="T18" s="364"/>
      <c r="AD18" s="365"/>
      <c r="AE18" s="98"/>
    </row>
    <row r="19" spans="2:31" ht="17" hidden="1" x14ac:dyDescent="0.4">
      <c r="B19" s="95"/>
      <c r="C19" s="362"/>
      <c r="D19" s="347"/>
      <c r="E19" s="358"/>
      <c r="F19" s="357"/>
      <c r="G19" s="357"/>
      <c r="H19" s="625"/>
      <c r="I19" s="625"/>
      <c r="J19" s="357"/>
      <c r="K19" s="598"/>
      <c r="L19" s="598"/>
      <c r="M19" s="363"/>
      <c r="N19" s="107"/>
      <c r="O19" s="107"/>
      <c r="P19" s="107"/>
      <c r="Q19" s="107"/>
      <c r="R19" s="107"/>
      <c r="S19" s="107"/>
      <c r="T19" s="364"/>
      <c r="AD19" s="365"/>
      <c r="AE19" s="98"/>
    </row>
    <row r="20" spans="2:31" ht="17" hidden="1" x14ac:dyDescent="0.4">
      <c r="B20" s="95"/>
      <c r="C20" s="362"/>
      <c r="D20" s="347"/>
      <c r="E20" s="358"/>
      <c r="F20" s="357"/>
      <c r="G20" s="357"/>
      <c r="H20" s="625"/>
      <c r="I20" s="625"/>
      <c r="K20" s="598"/>
      <c r="L20" s="598"/>
      <c r="M20" s="363"/>
      <c r="N20" s="107"/>
      <c r="O20" s="107"/>
      <c r="P20" s="107"/>
      <c r="Q20" s="107"/>
      <c r="R20" s="107"/>
      <c r="S20" s="107"/>
      <c r="T20" s="364"/>
      <c r="AD20" s="365"/>
      <c r="AE20" s="98"/>
    </row>
    <row r="21" spans="2:31" ht="17" hidden="1" x14ac:dyDescent="0.4">
      <c r="B21" s="95"/>
      <c r="C21" s="362"/>
      <c r="D21" s="347"/>
      <c r="E21" s="358"/>
      <c r="F21" s="357"/>
      <c r="G21" s="357"/>
      <c r="H21" s="625"/>
      <c r="I21" s="625"/>
      <c r="J21" s="357"/>
      <c r="K21" s="598"/>
      <c r="L21" s="598"/>
      <c r="M21" s="363"/>
      <c r="N21" s="107"/>
      <c r="O21" s="107"/>
      <c r="P21" s="107"/>
      <c r="Q21" s="107"/>
      <c r="R21" s="107"/>
      <c r="S21" s="107"/>
      <c r="T21" s="364"/>
      <c r="AD21" s="365"/>
      <c r="AE21" s="98"/>
    </row>
    <row r="22" spans="2:31" ht="17" hidden="1" x14ac:dyDescent="0.4">
      <c r="B22" s="95"/>
      <c r="C22" s="362"/>
      <c r="D22" s="347"/>
      <c r="E22" s="358"/>
      <c r="F22" s="357"/>
      <c r="G22" s="357"/>
      <c r="H22" s="625"/>
      <c r="I22" s="625"/>
      <c r="J22" s="357"/>
      <c r="K22" s="598"/>
      <c r="L22" s="598"/>
      <c r="M22" s="363"/>
      <c r="N22" s="107"/>
      <c r="O22" s="107"/>
      <c r="P22" s="107"/>
      <c r="Q22" s="107"/>
      <c r="R22" s="107"/>
      <c r="S22" s="107"/>
      <c r="T22" s="364"/>
      <c r="AD22" s="365"/>
      <c r="AE22" s="98"/>
    </row>
    <row r="23" spans="2:31" ht="88.15" customHeight="1" x14ac:dyDescent="0.4">
      <c r="B23" s="95"/>
      <c r="C23" s="362"/>
      <c r="D23" s="347"/>
      <c r="E23" s="358"/>
      <c r="F23" s="357"/>
      <c r="G23" s="357"/>
      <c r="H23" s="625"/>
      <c r="I23" s="625"/>
      <c r="J23" s="357"/>
      <c r="K23" s="598"/>
      <c r="L23" s="598"/>
      <c r="M23" s="363"/>
      <c r="N23" s="107"/>
      <c r="O23" s="107"/>
      <c r="P23" s="107"/>
      <c r="Q23" s="107"/>
      <c r="R23" s="107"/>
      <c r="S23" s="107"/>
      <c r="T23" s="364"/>
      <c r="AD23" s="365"/>
      <c r="AE23" s="98"/>
    </row>
    <row r="24" spans="2:31" ht="17" hidden="1" x14ac:dyDescent="0.4">
      <c r="B24" s="95"/>
      <c r="C24" s="362"/>
      <c r="D24" s="347"/>
      <c r="E24" s="358"/>
      <c r="F24" s="357"/>
      <c r="G24" s="357"/>
      <c r="H24" s="625"/>
      <c r="I24" s="625"/>
      <c r="J24" s="357"/>
      <c r="K24" s="598"/>
      <c r="L24" s="598"/>
      <c r="M24" s="363"/>
      <c r="N24" s="107"/>
      <c r="O24" s="107"/>
      <c r="P24" s="107"/>
      <c r="Q24" s="107"/>
      <c r="R24" s="107"/>
      <c r="S24" s="107"/>
      <c r="T24" s="364"/>
      <c r="AD24" s="365"/>
      <c r="AE24" s="98"/>
    </row>
    <row r="25" spans="2:31" ht="17" hidden="1" x14ac:dyDescent="0.4">
      <c r="B25" s="95"/>
      <c r="C25" s="362"/>
      <c r="D25" s="347"/>
      <c r="E25" s="358"/>
      <c r="F25" s="357"/>
      <c r="G25" s="357"/>
      <c r="H25" s="625"/>
      <c r="I25" s="625"/>
      <c r="J25" s="357"/>
      <c r="K25" s="598"/>
      <c r="L25" s="598"/>
      <c r="M25" s="363"/>
      <c r="N25" s="107"/>
      <c r="O25" s="107"/>
      <c r="P25" s="107"/>
      <c r="Q25" s="107"/>
      <c r="R25" s="107"/>
      <c r="S25" s="107"/>
      <c r="T25" s="364"/>
      <c r="AD25" s="365"/>
      <c r="AE25" s="98"/>
    </row>
    <row r="26" spans="2:31" ht="85.15" customHeight="1" x14ac:dyDescent="0.35">
      <c r="B26" s="95"/>
      <c r="C26" s="628"/>
      <c r="D26" s="562"/>
      <c r="E26" s="562"/>
      <c r="F26" s="562"/>
      <c r="G26" s="562"/>
      <c r="H26" s="562"/>
      <c r="I26" s="562"/>
      <c r="J26" s="562"/>
      <c r="K26" s="562"/>
      <c r="L26" s="562"/>
      <c r="M26" s="629"/>
      <c r="N26" s="119"/>
      <c r="O26" s="119"/>
      <c r="P26" s="119"/>
      <c r="Q26" s="119"/>
      <c r="R26" s="119"/>
      <c r="S26" s="119"/>
      <c r="T26" s="364"/>
      <c r="AD26" s="365"/>
      <c r="AE26" s="98"/>
    </row>
    <row r="27" spans="2:31" ht="17" hidden="1" x14ac:dyDescent="0.4">
      <c r="B27" s="95"/>
      <c r="C27" s="362"/>
      <c r="E27" s="358"/>
      <c r="F27" s="357"/>
      <c r="G27" s="357"/>
      <c r="H27" s="625"/>
      <c r="I27" s="625"/>
      <c r="J27" s="357"/>
      <c r="K27" s="598"/>
      <c r="L27" s="598"/>
      <c r="M27" s="363"/>
      <c r="N27" s="107"/>
      <c r="O27" s="107"/>
      <c r="P27" s="107"/>
      <c r="Q27" s="107"/>
      <c r="R27" s="107"/>
      <c r="S27" s="107"/>
      <c r="T27" s="364"/>
      <c r="AD27" s="365"/>
      <c r="AE27" s="98"/>
    </row>
    <row r="28" spans="2:31" ht="17" hidden="1" x14ac:dyDescent="0.4">
      <c r="B28" s="95"/>
      <c r="C28" s="362"/>
      <c r="E28" s="358"/>
      <c r="F28" s="357"/>
      <c r="G28" s="357"/>
      <c r="H28" s="625"/>
      <c r="I28" s="625"/>
      <c r="J28" s="357"/>
      <c r="K28" s="598"/>
      <c r="L28" s="598"/>
      <c r="M28" s="363"/>
      <c r="N28" s="107"/>
      <c r="O28" s="107"/>
      <c r="P28" s="107"/>
      <c r="Q28" s="107"/>
      <c r="R28" s="107"/>
      <c r="S28" s="107"/>
      <c r="T28" s="364"/>
      <c r="AD28" s="365"/>
      <c r="AE28" s="98"/>
    </row>
    <row r="29" spans="2:31" ht="17" hidden="1" x14ac:dyDescent="0.4">
      <c r="B29" s="95"/>
      <c r="C29" s="362"/>
      <c r="E29" s="358"/>
      <c r="F29" s="357"/>
      <c r="G29" s="357"/>
      <c r="H29" s="625"/>
      <c r="I29" s="625"/>
      <c r="J29" s="357"/>
      <c r="K29" s="598"/>
      <c r="L29" s="598"/>
      <c r="M29" s="363"/>
      <c r="N29" s="107"/>
      <c r="O29" s="107"/>
      <c r="P29" s="107"/>
      <c r="Q29" s="107"/>
      <c r="R29" s="107"/>
      <c r="S29" s="107"/>
      <c r="T29" s="364"/>
      <c r="AD29" s="365"/>
      <c r="AE29" s="98"/>
    </row>
    <row r="30" spans="2:31" ht="17" hidden="1" x14ac:dyDescent="0.4">
      <c r="B30" s="95"/>
      <c r="C30" s="362"/>
      <c r="E30" s="358"/>
      <c r="F30" s="357"/>
      <c r="G30" s="357"/>
      <c r="H30" s="625"/>
      <c r="I30" s="625"/>
      <c r="J30" s="357"/>
      <c r="K30" s="598"/>
      <c r="L30" s="598"/>
      <c r="M30" s="363"/>
      <c r="N30" s="107"/>
      <c r="O30" s="107"/>
      <c r="P30" s="107"/>
      <c r="Q30" s="107"/>
      <c r="R30" s="107"/>
      <c r="S30" s="107"/>
      <c r="T30" s="364"/>
      <c r="AD30" s="365"/>
      <c r="AE30" s="98"/>
    </row>
    <row r="31" spans="2:31" ht="17" hidden="1" x14ac:dyDescent="0.4">
      <c r="B31" s="95"/>
      <c r="C31" s="362"/>
      <c r="E31" s="358"/>
      <c r="F31" s="357"/>
      <c r="G31" s="357"/>
      <c r="H31" s="625"/>
      <c r="I31" s="625"/>
      <c r="J31" s="357"/>
      <c r="K31" s="598"/>
      <c r="L31" s="598"/>
      <c r="M31" s="363"/>
      <c r="N31" s="107"/>
      <c r="O31" s="107"/>
      <c r="P31" s="107"/>
      <c r="Q31" s="107"/>
      <c r="R31" s="107"/>
      <c r="S31" s="107"/>
      <c r="T31" s="364"/>
      <c r="AD31" s="365"/>
      <c r="AE31" s="98"/>
    </row>
    <row r="32" spans="2:31" ht="17" hidden="1" x14ac:dyDescent="0.4">
      <c r="B32" s="95"/>
      <c r="C32" s="362"/>
      <c r="E32" s="358"/>
      <c r="F32" s="357"/>
      <c r="G32" s="357"/>
      <c r="H32" s="625"/>
      <c r="I32" s="625"/>
      <c r="J32" s="357"/>
      <c r="K32" s="598"/>
      <c r="L32" s="598"/>
      <c r="M32" s="363"/>
      <c r="N32" s="107"/>
      <c r="O32" s="107"/>
      <c r="P32" s="107"/>
      <c r="Q32" s="107"/>
      <c r="R32" s="107"/>
      <c r="S32" s="107"/>
      <c r="T32" s="364"/>
      <c r="AD32" s="365"/>
      <c r="AE32" s="98"/>
    </row>
    <row r="33" spans="2:31" ht="17" hidden="1" x14ac:dyDescent="0.4">
      <c r="B33" s="95"/>
      <c r="C33" s="362"/>
      <c r="E33" s="358"/>
      <c r="F33" s="357"/>
      <c r="G33" s="357"/>
      <c r="H33" s="625"/>
      <c r="I33" s="625"/>
      <c r="J33" s="357"/>
      <c r="K33" s="598"/>
      <c r="L33" s="598"/>
      <c r="M33" s="363"/>
      <c r="N33" s="107"/>
      <c r="O33" s="107"/>
      <c r="P33" s="107"/>
      <c r="Q33" s="107"/>
      <c r="R33" s="107"/>
      <c r="S33" s="107"/>
      <c r="T33" s="364"/>
      <c r="AD33" s="365"/>
      <c r="AE33" s="98"/>
    </row>
    <row r="34" spans="2:31" ht="14.5" hidden="1" x14ac:dyDescent="0.35">
      <c r="B34" s="95"/>
      <c r="C34" s="364"/>
      <c r="M34" s="365"/>
      <c r="T34" s="364"/>
      <c r="AD34" s="365"/>
      <c r="AE34" s="98"/>
    </row>
    <row r="35" spans="2:31" ht="17" hidden="1" x14ac:dyDescent="0.4">
      <c r="B35" s="95"/>
      <c r="C35" s="633"/>
      <c r="D35" s="546"/>
      <c r="E35" s="546"/>
      <c r="F35" s="546"/>
      <c r="G35" s="546"/>
      <c r="H35" s="546"/>
      <c r="I35" s="546"/>
      <c r="J35" s="546"/>
      <c r="K35" s="546"/>
      <c r="L35" s="546"/>
      <c r="M35" s="634"/>
      <c r="N35" s="124"/>
      <c r="O35" s="124"/>
      <c r="P35" s="124"/>
      <c r="Q35" s="124"/>
      <c r="R35" s="124"/>
      <c r="S35" s="124"/>
      <c r="T35" s="364"/>
      <c r="AD35" s="365"/>
      <c r="AE35" s="98"/>
    </row>
    <row r="36" spans="2:31" ht="85.9" customHeight="1" x14ac:dyDescent="0.4">
      <c r="B36" s="95"/>
      <c r="C36" s="630"/>
      <c r="D36" s="631"/>
      <c r="E36" s="631"/>
      <c r="F36" s="631"/>
      <c r="G36" s="631"/>
      <c r="H36" s="631"/>
      <c r="I36" s="631"/>
      <c r="J36" s="631"/>
      <c r="K36" s="631"/>
      <c r="L36" s="631"/>
      <c r="M36" s="632"/>
      <c r="N36" s="125"/>
      <c r="O36" s="125"/>
      <c r="P36" s="125"/>
      <c r="Q36" s="125"/>
      <c r="R36" s="125"/>
      <c r="S36" s="125"/>
      <c r="T36" s="364"/>
      <c r="AD36" s="365"/>
      <c r="AE36" s="98"/>
    </row>
    <row r="37" spans="2:31" ht="61.15" customHeight="1" x14ac:dyDescent="0.4">
      <c r="B37" s="95"/>
      <c r="C37" s="630"/>
      <c r="D37" s="631"/>
      <c r="E37" s="631"/>
      <c r="F37" s="631"/>
      <c r="G37" s="631"/>
      <c r="H37" s="631"/>
      <c r="I37" s="631"/>
      <c r="J37" s="631"/>
      <c r="K37" s="631"/>
      <c r="L37" s="631"/>
      <c r="M37" s="632"/>
      <c r="N37" s="125"/>
      <c r="O37" s="125"/>
      <c r="P37" s="125"/>
      <c r="Q37" s="125"/>
      <c r="R37" s="125"/>
      <c r="S37" s="125"/>
      <c r="T37" s="364"/>
      <c r="AD37" s="365"/>
      <c r="AE37" s="98"/>
    </row>
    <row r="38" spans="2:31" ht="17.149999999999999" customHeight="1" x14ac:dyDescent="0.4">
      <c r="B38" s="95"/>
      <c r="C38" s="630"/>
      <c r="D38" s="631"/>
      <c r="E38" s="631"/>
      <c r="F38" s="631"/>
      <c r="G38" s="631"/>
      <c r="H38" s="631"/>
      <c r="I38" s="631"/>
      <c r="J38" s="631"/>
      <c r="K38" s="631"/>
      <c r="L38" s="631"/>
      <c r="M38" s="632"/>
      <c r="N38" s="125"/>
      <c r="O38" s="125"/>
      <c r="P38" s="125"/>
      <c r="Q38" s="125"/>
      <c r="R38" s="125"/>
      <c r="S38" s="125"/>
      <c r="T38" s="364"/>
      <c r="AD38" s="365"/>
      <c r="AE38" s="98"/>
    </row>
    <row r="39" spans="2:31" ht="17.149999999999999" customHeight="1" x14ac:dyDescent="0.4">
      <c r="B39" s="95"/>
      <c r="C39" s="630"/>
      <c r="D39" s="631"/>
      <c r="E39" s="631"/>
      <c r="F39" s="631"/>
      <c r="G39" s="631"/>
      <c r="H39" s="631"/>
      <c r="I39" s="631"/>
      <c r="J39" s="631"/>
      <c r="K39" s="631"/>
      <c r="L39" s="631"/>
      <c r="M39" s="632"/>
      <c r="N39" s="125"/>
      <c r="O39" s="125"/>
      <c r="P39" s="125"/>
      <c r="Q39" s="125"/>
      <c r="R39" s="125"/>
      <c r="S39" s="125"/>
      <c r="T39" s="364"/>
      <c r="AD39" s="365"/>
      <c r="AE39" s="98"/>
    </row>
    <row r="40" spans="2:31" ht="17.149999999999999" customHeight="1" x14ac:dyDescent="0.4">
      <c r="B40" s="95"/>
      <c r="C40" s="630"/>
      <c r="D40" s="631"/>
      <c r="E40" s="631"/>
      <c r="F40" s="631"/>
      <c r="G40" s="631"/>
      <c r="H40" s="631"/>
      <c r="I40" s="631"/>
      <c r="J40" s="631"/>
      <c r="K40" s="631"/>
      <c r="L40" s="631"/>
      <c r="M40" s="632"/>
      <c r="N40" s="125"/>
      <c r="O40" s="125"/>
      <c r="P40" s="125"/>
      <c r="Q40" s="125"/>
      <c r="R40" s="125"/>
      <c r="S40" s="125"/>
      <c r="T40" s="364"/>
      <c r="AD40" s="365"/>
      <c r="AE40" s="98"/>
    </row>
    <row r="41" spans="2:31" ht="17.149999999999999" customHeight="1" x14ac:dyDescent="0.4">
      <c r="B41" s="95"/>
      <c r="C41" s="630"/>
      <c r="D41" s="631"/>
      <c r="E41" s="631"/>
      <c r="F41" s="631"/>
      <c r="G41" s="631"/>
      <c r="H41" s="631"/>
      <c r="I41" s="631"/>
      <c r="J41" s="631"/>
      <c r="K41" s="631"/>
      <c r="L41" s="631"/>
      <c r="M41" s="632"/>
      <c r="N41" s="125"/>
      <c r="O41" s="125"/>
      <c r="P41" s="125"/>
      <c r="Q41" s="125"/>
      <c r="R41" s="125"/>
      <c r="S41" s="125"/>
      <c r="T41" s="364"/>
      <c r="AD41" s="365"/>
      <c r="AE41" s="98"/>
    </row>
    <row r="42" spans="2:31" ht="17.149999999999999" customHeight="1" x14ac:dyDescent="0.4">
      <c r="B42" s="95"/>
      <c r="C42" s="630"/>
      <c r="D42" s="631"/>
      <c r="E42" s="631"/>
      <c r="F42" s="631"/>
      <c r="G42" s="631"/>
      <c r="H42" s="631"/>
      <c r="I42" s="631"/>
      <c r="J42" s="631"/>
      <c r="K42" s="631"/>
      <c r="L42" s="631"/>
      <c r="M42" s="632"/>
      <c r="N42" s="125"/>
      <c r="O42" s="125"/>
      <c r="P42" s="125"/>
      <c r="Q42" s="125"/>
      <c r="R42" s="125"/>
      <c r="S42" s="125"/>
      <c r="T42" s="364"/>
      <c r="AD42" s="365"/>
      <c r="AE42" s="98"/>
    </row>
    <row r="43" spans="2:31" ht="17.149999999999999" customHeight="1" x14ac:dyDescent="0.4">
      <c r="B43" s="95"/>
      <c r="C43" s="630"/>
      <c r="D43" s="631"/>
      <c r="E43" s="631"/>
      <c r="F43" s="631"/>
      <c r="G43" s="631"/>
      <c r="H43" s="631"/>
      <c r="I43" s="631"/>
      <c r="J43" s="631"/>
      <c r="K43" s="631"/>
      <c r="L43" s="631"/>
      <c r="M43" s="632"/>
      <c r="N43" s="125"/>
      <c r="O43" s="125"/>
      <c r="P43" s="125"/>
      <c r="Q43" s="125"/>
      <c r="R43" s="125"/>
      <c r="S43" s="125"/>
      <c r="T43" s="364"/>
      <c r="AD43" s="365"/>
      <c r="AE43" s="98"/>
    </row>
    <row r="44" spans="2:31" ht="17.149999999999999" customHeight="1" x14ac:dyDescent="0.4">
      <c r="B44" s="95"/>
      <c r="C44" s="635"/>
      <c r="D44" s="636"/>
      <c r="E44" s="636"/>
      <c r="F44" s="636"/>
      <c r="G44" s="636"/>
      <c r="H44" s="636"/>
      <c r="I44" s="636"/>
      <c r="J44" s="636"/>
      <c r="K44" s="636"/>
      <c r="L44" s="636"/>
      <c r="M44" s="637"/>
      <c r="N44" s="125"/>
      <c r="O44" s="125"/>
      <c r="P44" s="125"/>
      <c r="Q44" s="125"/>
      <c r="R44" s="125"/>
      <c r="S44" s="125"/>
      <c r="T44" s="369"/>
      <c r="U44" s="370"/>
      <c r="V44" s="370"/>
      <c r="W44" s="370"/>
      <c r="X44" s="370"/>
      <c r="Y44" s="370"/>
      <c r="Z44" s="370"/>
      <c r="AA44" s="370"/>
      <c r="AB44" s="370"/>
      <c r="AC44" s="370"/>
      <c r="AD44" s="371"/>
      <c r="AE44" s="98"/>
    </row>
    <row r="45" spans="2:31" ht="15" hidden="1" thickBot="1" x14ac:dyDescent="0.4">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8"/>
    </row>
    <row r="46" spans="2:31" ht="8.15" customHeight="1" x14ac:dyDescent="0.35"/>
    <row r="47" spans="2:31" ht="9.65" hidden="1" customHeight="1" x14ac:dyDescent="0.35"/>
  </sheetData>
  <sheetProtection algorithmName="SHA-512" hashValue="abi99Zi+YChHVoNVWU2i1U06kCYqrsQXHO1U6Cz+d2+4rENHGzNRgO9alJKngDKgwA+ppn8/66q8mZUE8mL1JQ==" saltValue="SbaRvzgBuaPvQ5zECSjlAg==" spinCount="100000" sheet="1" objects="1" scenarios="1"/>
  <mergeCells count="125">
    <mergeCell ref="V13:W13"/>
    <mergeCell ref="X13:Y13"/>
    <mergeCell ref="Z13:AA13"/>
    <mergeCell ref="AB13:AD13"/>
    <mergeCell ref="V12:W12"/>
    <mergeCell ref="X12:Y12"/>
    <mergeCell ref="Z12:AA12"/>
    <mergeCell ref="AB12:AD12"/>
    <mergeCell ref="V11:W11"/>
    <mergeCell ref="X11:Y11"/>
    <mergeCell ref="AB8:AD8"/>
    <mergeCell ref="V9:W9"/>
    <mergeCell ref="X9:Y9"/>
    <mergeCell ref="Z9:AA9"/>
    <mergeCell ref="AB9:AD9"/>
    <mergeCell ref="V10:W10"/>
    <mergeCell ref="X10:Y10"/>
    <mergeCell ref="Z11:AA11"/>
    <mergeCell ref="AB11:AD11"/>
    <mergeCell ref="Z8:AA8"/>
    <mergeCell ref="V8:W8"/>
    <mergeCell ref="X8:Y8"/>
    <mergeCell ref="Z10:AA10"/>
    <mergeCell ref="AB10:AD10"/>
    <mergeCell ref="Z5:AD5"/>
    <mergeCell ref="V6:W6"/>
    <mergeCell ref="X6:Y6"/>
    <mergeCell ref="Z6:AA6"/>
    <mergeCell ref="AB6:AD6"/>
    <mergeCell ref="V7:W7"/>
    <mergeCell ref="X7:Y7"/>
    <mergeCell ref="Z7:AA7"/>
    <mergeCell ref="AB7:AD7"/>
    <mergeCell ref="V5:Y5"/>
    <mergeCell ref="C43:E43"/>
    <mergeCell ref="F43:M43"/>
    <mergeCell ref="C44:E44"/>
    <mergeCell ref="F44:M44"/>
    <mergeCell ref="C40:E40"/>
    <mergeCell ref="F40:M40"/>
    <mergeCell ref="C41:E41"/>
    <mergeCell ref="F41:M41"/>
    <mergeCell ref="C42:E42"/>
    <mergeCell ref="F42:M42"/>
    <mergeCell ref="C37:E37"/>
    <mergeCell ref="F37:M37"/>
    <mergeCell ref="C38:E38"/>
    <mergeCell ref="F38:M38"/>
    <mergeCell ref="C39:E39"/>
    <mergeCell ref="F39:M39"/>
    <mergeCell ref="H32:I32"/>
    <mergeCell ref="K32:L32"/>
    <mergeCell ref="H33:I33"/>
    <mergeCell ref="K33:L33"/>
    <mergeCell ref="C35:M35"/>
    <mergeCell ref="C36:E36"/>
    <mergeCell ref="F36:M36"/>
    <mergeCell ref="H29:I29"/>
    <mergeCell ref="K29:L29"/>
    <mergeCell ref="H30:I30"/>
    <mergeCell ref="K30:L30"/>
    <mergeCell ref="H31:I31"/>
    <mergeCell ref="K31:L31"/>
    <mergeCell ref="H25:I25"/>
    <mergeCell ref="K25:L25"/>
    <mergeCell ref="C26:M26"/>
    <mergeCell ref="H27:I27"/>
    <mergeCell ref="K27:L27"/>
    <mergeCell ref="H28:I28"/>
    <mergeCell ref="K28:L28"/>
    <mergeCell ref="H22:I22"/>
    <mergeCell ref="K22:L22"/>
    <mergeCell ref="H23:I23"/>
    <mergeCell ref="K23:L23"/>
    <mergeCell ref="H24:I24"/>
    <mergeCell ref="K24:L24"/>
    <mergeCell ref="C18:M18"/>
    <mergeCell ref="H19:I19"/>
    <mergeCell ref="K19:L19"/>
    <mergeCell ref="H20:I20"/>
    <mergeCell ref="K20:L20"/>
    <mergeCell ref="H21:I21"/>
    <mergeCell ref="K21:L21"/>
    <mergeCell ref="E11:F11"/>
    <mergeCell ref="G11:H11"/>
    <mergeCell ref="I11:J11"/>
    <mergeCell ref="K11:M11"/>
    <mergeCell ref="E9:F9"/>
    <mergeCell ref="G9:H9"/>
    <mergeCell ref="I9:J9"/>
    <mergeCell ref="K9:M9"/>
    <mergeCell ref="C15:C16"/>
    <mergeCell ref="E15:E16"/>
    <mergeCell ref="F15:J15"/>
    <mergeCell ref="K15:L16"/>
    <mergeCell ref="M15:M16"/>
    <mergeCell ref="H16:I16"/>
    <mergeCell ref="E12:F12"/>
    <mergeCell ref="G12:H12"/>
    <mergeCell ref="I12:J12"/>
    <mergeCell ref="K12:M12"/>
    <mergeCell ref="E13:F13"/>
    <mergeCell ref="G13:H13"/>
    <mergeCell ref="I13:J13"/>
    <mergeCell ref="K13:M13"/>
    <mergeCell ref="E8:F8"/>
    <mergeCell ref="G8:H8"/>
    <mergeCell ref="I8:J8"/>
    <mergeCell ref="K8:M8"/>
    <mergeCell ref="C5:C6"/>
    <mergeCell ref="E5:H5"/>
    <mergeCell ref="I5:M5"/>
    <mergeCell ref="E10:F10"/>
    <mergeCell ref="G10:H10"/>
    <mergeCell ref="I10:J10"/>
    <mergeCell ref="K10:M10"/>
    <mergeCell ref="T5:T6"/>
    <mergeCell ref="E6:F6"/>
    <mergeCell ref="G6:H6"/>
    <mergeCell ref="I6:J6"/>
    <mergeCell ref="K6:M6"/>
    <mergeCell ref="E7:F7"/>
    <mergeCell ref="G7:H7"/>
    <mergeCell ref="I7:J7"/>
    <mergeCell ref="K7:M7"/>
  </mergeCells>
  <conditionalFormatting sqref="K7:K13">
    <cfRule type="cellIs" dxfId="126" priority="5" operator="greaterThan">
      <formula>0</formula>
    </cfRule>
    <cfRule type="cellIs" dxfId="125" priority="6" operator="equal">
      <formula>0</formula>
    </cfRule>
  </conditionalFormatting>
  <conditionalFormatting sqref="X7:Y12">
    <cfRule type="cellIs" dxfId="124" priority="3" operator="greaterThan">
      <formula>0</formula>
    </cfRule>
    <cfRule type="cellIs" dxfId="123" priority="4" operator="equal">
      <formula>0</formula>
    </cfRule>
  </conditionalFormatting>
  <conditionalFormatting sqref="AB7:AB12 G7:H13">
    <cfRule type="cellIs" dxfId="122" priority="7" operator="greaterThan">
      <formula>0</formula>
    </cfRule>
    <cfRule type="cellIs" dxfId="121" priority="8" operator="equal">
      <formula>0</formula>
    </cfRule>
  </conditionalFormatting>
  <hyperlinks>
    <hyperlink ref="AB3" r:id="rId1" xr:uid="{A24E5CE7-D0D0-48FA-BD18-FEA2ACF49FE6}"/>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870" id="{EF18075B-853B-473A-87DE-C90302422695}">
            <xm:f>INDEX(Scoring!S:S,MATCH(C36,Scoring!$BA:$BA,0))="A"</xm:f>
            <x14:dxf>
              <font>
                <b/>
                <i/>
                <color rgb="FFC00000"/>
              </font>
              <fill>
                <patternFill patternType="none">
                  <bgColor auto="1"/>
                </patternFill>
              </fill>
            </x14:dxf>
          </x14:cfRule>
          <xm:sqref>C36:C44</xm:sqref>
        </x14:conditionalFormatting>
        <x14:conditionalFormatting xmlns:xm="http://schemas.microsoft.com/office/excel/2006/main">
          <x14:cfRule type="expression" priority="1871" id="{12240005-9C99-4555-AB7A-71E45981329B}">
            <xm:f>INDEX(Scoring!S:S,MATCH(F36,Scoring!$BA:$BA,0))="A"</xm:f>
            <x14:dxf>
              <font>
                <b/>
                <i/>
                <color rgb="FFC00000"/>
              </font>
            </x14:dxf>
          </x14:cfRule>
          <xm:sqref>F36:F44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06B2-5FA6-482D-9B8F-55FDE13731BD}">
  <dimension ref="A1:V15"/>
  <sheetViews>
    <sheetView workbookViewId="0">
      <selection activeCell="H12" sqref="H12"/>
    </sheetView>
  </sheetViews>
  <sheetFormatPr defaultRowHeight="14.5" x14ac:dyDescent="0.35"/>
  <cols>
    <col min="1" max="1" width="7.81640625" bestFit="1" customWidth="1"/>
    <col min="2" max="2" width="15.1796875" bestFit="1" customWidth="1"/>
    <col min="3" max="3" width="19.1796875" bestFit="1" customWidth="1"/>
    <col min="11" max="11" width="21.1796875" customWidth="1"/>
    <col min="12" max="12" width="89.1796875" bestFit="1" customWidth="1"/>
    <col min="14" max="14" width="98.453125" bestFit="1" customWidth="1"/>
    <col min="18" max="18" width="29" bestFit="1" customWidth="1"/>
    <col min="19" max="19" width="33.81640625" customWidth="1"/>
    <col min="20" max="22" width="19.453125" bestFit="1" customWidth="1"/>
  </cols>
  <sheetData>
    <row r="1" spans="1:22" ht="14.5" customHeight="1" x14ac:dyDescent="0.35">
      <c r="A1" s="1" t="s">
        <v>341</v>
      </c>
      <c r="B1" s="1" t="s">
        <v>342</v>
      </c>
      <c r="C1" s="1" t="s">
        <v>7</v>
      </c>
      <c r="D1" s="1" t="s">
        <v>343</v>
      </c>
      <c r="E1" s="1" t="s">
        <v>344</v>
      </c>
      <c r="F1" s="1" t="s">
        <v>918</v>
      </c>
      <c r="G1" s="1" t="s">
        <v>917</v>
      </c>
      <c r="H1" s="1" t="s">
        <v>919</v>
      </c>
      <c r="I1" s="1" t="s">
        <v>920</v>
      </c>
      <c r="J1" s="1"/>
      <c r="K1" s="1" t="s">
        <v>483</v>
      </c>
      <c r="L1" s="1" t="s">
        <v>484</v>
      </c>
      <c r="M1" s="1" t="s">
        <v>485</v>
      </c>
      <c r="N1" s="1" t="s">
        <v>486</v>
      </c>
      <c r="O1" s="1" t="s">
        <v>345</v>
      </c>
      <c r="P1" s="1" t="s">
        <v>346</v>
      </c>
      <c r="Q1" s="1"/>
      <c r="R1" s="1" t="s">
        <v>7</v>
      </c>
      <c r="S1" t="s">
        <v>886</v>
      </c>
      <c r="T1" s="1" t="s">
        <v>914</v>
      </c>
      <c r="U1" s="1" t="s">
        <v>915</v>
      </c>
      <c r="V1" s="1" t="s">
        <v>916</v>
      </c>
    </row>
    <row r="2" spans="1:22" ht="14.5" customHeight="1" x14ac:dyDescent="0.35">
      <c r="A2" t="s">
        <v>9</v>
      </c>
      <c r="B2" t="s">
        <v>895</v>
      </c>
      <c r="C2" t="s">
        <v>347</v>
      </c>
      <c r="K2">
        <v>1</v>
      </c>
      <c r="L2" t="str">
        <f>K2&amp;". "&amp;INDEX(Scoring!$H:$H,MATCH(Validation!K2,Scoring!$D:$D,0))</f>
        <v>1. Left/right hook collisions at junctions or side roads</v>
      </c>
      <c r="M2">
        <v>23</v>
      </c>
      <c r="N2" t="str">
        <f>M2&amp;". "&amp;INDEX(Scoring!$H:$H,MATCH(Validation!M2,Scoring!$D:$D,0))</f>
        <v>23. Nearside lane width and configuration</v>
      </c>
      <c r="O2">
        <v>34</v>
      </c>
      <c r="P2" t="str">
        <f>O2&amp;". "&amp;INDEX(Scoring!$H:$H,MATCH(Validation!O2,Scoring!$D:$D,0))</f>
        <v>34. Provision of secure cycle parking on-street and off-street</v>
      </c>
      <c r="R2" t="s">
        <v>913</v>
      </c>
      <c r="S2" t="s">
        <v>938</v>
      </c>
      <c r="T2" t="s">
        <v>905</v>
      </c>
      <c r="U2" t="s">
        <v>906</v>
      </c>
      <c r="V2" t="s">
        <v>907</v>
      </c>
    </row>
    <row r="3" spans="1:22" x14ac:dyDescent="0.35">
      <c r="A3" t="s">
        <v>348</v>
      </c>
      <c r="B3" t="s">
        <v>891</v>
      </c>
      <c r="C3" t="s">
        <v>349</v>
      </c>
      <c r="D3" t="s">
        <v>20</v>
      </c>
      <c r="E3" t="s">
        <v>20</v>
      </c>
      <c r="F3">
        <v>0</v>
      </c>
      <c r="G3">
        <v>0</v>
      </c>
      <c r="H3" t="s">
        <v>20</v>
      </c>
      <c r="I3" t="s">
        <v>20</v>
      </c>
      <c r="J3" t="s">
        <v>20</v>
      </c>
      <c r="K3">
        <v>2</v>
      </c>
      <c r="L3" t="str">
        <f>K3&amp;". "&amp;INDEX(Scoring!$H:$H,MATCH(Validation!K3,Scoring!$D:$D,0))</f>
        <v>2. Application of LTN 1/20 Junction Assessment Tool</v>
      </c>
      <c r="M3">
        <v>24</v>
      </c>
      <c r="N3" t="str">
        <f>M3&amp;". "&amp;INDEX(Scoring!$H:$H,MATCH(Validation!M3,Scoring!$D:$D,0))</f>
        <v>24. Effect of kerbside activity on cyclists</v>
      </c>
      <c r="O3">
        <v>35</v>
      </c>
      <c r="P3" t="str">
        <f>O3&amp;". "&amp;INDEX(Scoring!$H:$H,MATCH(Validation!O3,Scoring!$D:$D,0))</f>
        <v>35. Quantity/coverage, continuity and quality of green and blue infrastructure to support local nature recovery</v>
      </c>
      <c r="R3" t="s">
        <v>898</v>
      </c>
      <c r="S3" t="s">
        <v>939</v>
      </c>
      <c r="T3" t="s">
        <v>905</v>
      </c>
      <c r="U3" t="s">
        <v>906</v>
      </c>
      <c r="V3" t="s">
        <v>907</v>
      </c>
    </row>
    <row r="4" spans="1:22" x14ac:dyDescent="0.35">
      <c r="C4" t="s">
        <v>350</v>
      </c>
      <c r="D4">
        <v>0</v>
      </c>
      <c r="E4">
        <v>0</v>
      </c>
      <c r="F4">
        <v>1</v>
      </c>
      <c r="G4">
        <v>1</v>
      </c>
      <c r="H4">
        <v>0</v>
      </c>
      <c r="I4">
        <v>2</v>
      </c>
      <c r="J4">
        <v>1</v>
      </c>
      <c r="K4">
        <v>3</v>
      </c>
      <c r="L4" t="str">
        <f>K4&amp;". "&amp;INDEX(Scoring!$H:$H,MATCH(Validation!K4,Scoring!$D:$D,0))</f>
        <v>3. Pedestrian and cycle continuity, priority, accessibility and legibility across side roads</v>
      </c>
      <c r="M4">
        <v>28</v>
      </c>
      <c r="N4" t="str">
        <f>M4&amp;". "&amp;INDEX(Scoring!$H:$H,MATCH(Validation!M4,Scoring!$D:$D,0))</f>
        <v>28. Surface condition and general maintenance</v>
      </c>
      <c r="O4">
        <v>36</v>
      </c>
      <c r="P4" t="str">
        <f>O4&amp;". "&amp;INDEX(Scoring!$H:$H,MATCH(Validation!O4,Scoring!$D:$D,0))</f>
        <v>36. Functionality of green and blue infrastructure in providing resilience to extreme weather events</v>
      </c>
      <c r="R4" t="s">
        <v>899</v>
      </c>
      <c r="S4" t="s">
        <v>940</v>
      </c>
      <c r="T4" t="s">
        <v>908</v>
      </c>
      <c r="U4" t="s">
        <v>909</v>
      </c>
      <c r="V4" t="s">
        <v>910</v>
      </c>
    </row>
    <row r="5" spans="1:22" x14ac:dyDescent="0.35">
      <c r="C5" t="s">
        <v>351</v>
      </c>
      <c r="D5">
        <v>1</v>
      </c>
      <c r="E5">
        <v>1</v>
      </c>
      <c r="F5">
        <v>2</v>
      </c>
      <c r="G5">
        <v>2</v>
      </c>
      <c r="H5">
        <v>2</v>
      </c>
      <c r="I5" t="s">
        <v>701</v>
      </c>
      <c r="J5">
        <v>2</v>
      </c>
      <c r="K5">
        <v>6</v>
      </c>
      <c r="L5" t="str">
        <f>K5&amp;". "&amp;INDEX(Scoring!$H:$H,MATCH(Validation!K5,Scoring!$D:$D,0))</f>
        <v>6. Distance between formal crossing points considering PCU's a day</v>
      </c>
      <c r="M5">
        <v>33</v>
      </c>
      <c r="N5" t="str">
        <f>M5&amp;". "&amp;INDEX(Scoring!$H:$H,MATCH(Validation!M5,Scoring!$D:$D,0))</f>
        <v>33. Uniformity and quality of street lighting and its impact on users</v>
      </c>
      <c r="O5">
        <v>47</v>
      </c>
      <c r="P5" t="str">
        <f>O5&amp;". "&amp;INDEX(Scoring!$H:$H,MATCH(Validation!O5,Scoring!$D:$D,0))</f>
        <v>47. Street design influences bus journey time and reliability</v>
      </c>
      <c r="R5" t="s">
        <v>900</v>
      </c>
      <c r="S5" t="s">
        <v>941</v>
      </c>
      <c r="T5" t="s">
        <v>908</v>
      </c>
      <c r="U5" t="s">
        <v>911</v>
      </c>
      <c r="V5" t="s">
        <v>912</v>
      </c>
    </row>
    <row r="6" spans="1:22" x14ac:dyDescent="0.35">
      <c r="C6" t="s">
        <v>352</v>
      </c>
      <c r="D6">
        <v>2</v>
      </c>
      <c r="E6">
        <v>2</v>
      </c>
      <c r="F6" t="s">
        <v>701</v>
      </c>
      <c r="G6" t="s">
        <v>701</v>
      </c>
      <c r="H6" t="s">
        <v>701</v>
      </c>
      <c r="J6" t="s">
        <v>701</v>
      </c>
      <c r="K6">
        <v>7</v>
      </c>
      <c r="L6" t="str">
        <f>K6&amp;". "&amp;INDEX(Scoring!$H:$H,MATCH(Validation!K6,Scoring!$D:$D,0))</f>
        <v>7. Type of crossing facility appropriate for street context</v>
      </c>
      <c r="M6">
        <v>44</v>
      </c>
      <c r="N6" t="str">
        <f>M6&amp;". "&amp;INDEX(Scoring!$H:$H,MATCH(Validation!M6,Scoring!$D:$D,0))</f>
        <v>44. Street to platform/boarding point step free access</v>
      </c>
      <c r="O6">
        <v>49</v>
      </c>
      <c r="P6" t="str">
        <f>O6&amp;". "&amp;INDEX(Scoring!$H:$H,MATCH(Validation!O6,Scoring!$D:$D,0))</f>
        <v>49. Waiting space, shelter and seating at bus stop</v>
      </c>
      <c r="R6" t="s">
        <v>901</v>
      </c>
      <c r="S6" t="s">
        <v>942</v>
      </c>
      <c r="T6" t="s">
        <v>908</v>
      </c>
      <c r="U6" t="s">
        <v>911</v>
      </c>
      <c r="V6" t="s">
        <v>912</v>
      </c>
    </row>
    <row r="7" spans="1:22" x14ac:dyDescent="0.35">
      <c r="D7" t="s">
        <v>701</v>
      </c>
      <c r="E7">
        <v>0</v>
      </c>
      <c r="K7">
        <v>12</v>
      </c>
      <c r="L7" t="str">
        <f>K7&amp;". "&amp;INDEX(Scoring!$H:$H,MATCH(Validation!K7,Scoring!$D:$D,0))</f>
        <v>12. Clear pedestrian routes that maintain minimum unobstructed width throughout</v>
      </c>
      <c r="M7">
        <v>48</v>
      </c>
      <c r="N7" t="str">
        <f>M7&amp;". "&amp;INDEX(Scoring!$H:$H,MATCH(Validation!M7,Scoring!$D:$D,0))</f>
        <v>48. Degree to which bus stop zone is universally accessible for people using the stop and people passing by</v>
      </c>
      <c r="O7">
        <v>50</v>
      </c>
      <c r="P7" t="str">
        <f>O7&amp;". "&amp;INDEX(Scoring!$H:$H,MATCH(Validation!O7,Scoring!$D:$D,0))</f>
        <v>50. Customer information at bus stop</v>
      </c>
      <c r="R7" t="s">
        <v>902</v>
      </c>
      <c r="S7" t="s">
        <v>943</v>
      </c>
      <c r="T7" t="s">
        <v>908</v>
      </c>
      <c r="U7" t="s">
        <v>909</v>
      </c>
      <c r="V7" t="s">
        <v>910</v>
      </c>
    </row>
    <row r="8" spans="1:22" x14ac:dyDescent="0.35">
      <c r="K8">
        <v>13</v>
      </c>
      <c r="L8" t="str">
        <f>K8&amp;". "&amp;INDEX(Scoring!$H:$H,MATCH(Validation!K8,Scoring!$D:$D,0))</f>
        <v>13. Trip hazards and surface quality</v>
      </c>
      <c r="M8">
        <v>51</v>
      </c>
      <c r="N8" t="str">
        <f>M8&amp;". "&amp;INDEX(Scoring!$H:$H,MATCH(Validation!M8,Scoring!$D:$D,0))</f>
        <v>51. Perception of safety at stop</v>
      </c>
      <c r="O8">
        <v>52</v>
      </c>
      <c r="P8" t="str">
        <f>O8&amp;". "&amp;INDEX(Scoring!$H:$H,MATCH(Validation!O8,Scoring!$D:$D,0))</f>
        <v>52. Bus priority measures - bus lanes, bus gates etc.</v>
      </c>
      <c r="R8" t="s">
        <v>903</v>
      </c>
      <c r="S8" t="s">
        <v>944</v>
      </c>
      <c r="T8" t="s">
        <v>908</v>
      </c>
      <c r="U8" t="s">
        <v>911</v>
      </c>
      <c r="V8" t="s">
        <v>912</v>
      </c>
    </row>
    <row r="9" spans="1:22" x14ac:dyDescent="0.35">
      <c r="K9">
        <v>14</v>
      </c>
      <c r="L9" t="str">
        <f>K9&amp;". "&amp;INDEX(Scoring!$H:$H,MATCH(Validation!K9,Scoring!$D:$D,0))</f>
        <v>14. Gradient over a specified distance</v>
      </c>
      <c r="M9">
        <v>53</v>
      </c>
      <c r="N9" t="str">
        <f>M9&amp;". "&amp;INDEX(Scoring!$H:$H,MATCH(Validation!M9,Scoring!$D:$D,0))</f>
        <v>53. Effective width next to a tramline on straight or curved section</v>
      </c>
      <c r="R9" t="s">
        <v>904</v>
      </c>
      <c r="T9" t="s">
        <v>908</v>
      </c>
      <c r="U9" t="s">
        <v>911</v>
      </c>
      <c r="V9" t="s">
        <v>912</v>
      </c>
    </row>
    <row r="10" spans="1:22" x14ac:dyDescent="0.35">
      <c r="K10">
        <v>15</v>
      </c>
      <c r="L10" t="str">
        <f>K10&amp;". "&amp;INDEX(Scoring!$H:$H,MATCH(Validation!K10,Scoring!$D:$D,0))</f>
        <v>15. Legibility and tonal contrast of surfacing</v>
      </c>
      <c r="M10">
        <v>54</v>
      </c>
      <c r="N10" t="str">
        <f>M10&amp;". "&amp;INDEX(Scoring!$H:$H,MATCH(Validation!M10,Scoring!$D:$D,0))</f>
        <v>54. Crossing angle</v>
      </c>
    </row>
    <row r="11" spans="1:22" x14ac:dyDescent="0.35">
      <c r="K11">
        <v>18</v>
      </c>
      <c r="L11" t="str">
        <f>K11&amp;". "&amp;INDEX(Scoring!$H:$H,MATCH(Validation!K11,Scoring!$D:$D,0))</f>
        <v>18. Appropriateness and width of shared use with cycles</v>
      </c>
      <c r="M11">
        <v>55</v>
      </c>
      <c r="N11" t="str">
        <f>M11&amp;". "&amp;INDEX(Scoring!$H:$H,MATCH(Validation!M11,Scoring!$D:$D,0))</f>
        <v>55. Width of shared use path</v>
      </c>
    </row>
    <row r="12" spans="1:22" x14ac:dyDescent="0.35">
      <c r="K12">
        <v>19</v>
      </c>
      <c r="L12" t="str">
        <f>K12&amp;". "&amp;INDEX(Scoring!$H:$H,MATCH(Validation!K12,Scoring!$D:$D,0))</f>
        <v>19. Speed at which drivers travel</v>
      </c>
      <c r="M12">
        <v>56</v>
      </c>
      <c r="N12" t="str">
        <f>M12&amp;". "&amp;INDEX(Scoring!$H:$H,MATCH(Validation!M12,Scoring!$D:$D,0))</f>
        <v>56. Degree to which access controls are universally accessible</v>
      </c>
    </row>
    <row r="13" spans="1:22" x14ac:dyDescent="0.35">
      <c r="K13">
        <v>20</v>
      </c>
      <c r="L13" t="str">
        <f>K13&amp;". "&amp;INDEX(Scoring!$H:$H,MATCH(Validation!K13,Scoring!$D:$D,0))</f>
        <v>20. Total volume of traffic (PCU's)</v>
      </c>
      <c r="M13">
        <v>57</v>
      </c>
      <c r="N13" t="str">
        <f>M13&amp;". "&amp;INDEX(Scoring!$H:$H,MATCH(Validation!M13,Scoring!$D:$D,0))</f>
        <v>57. Surface/construction type</v>
      </c>
    </row>
    <row r="14" spans="1:22" x14ac:dyDescent="0.35">
      <c r="K14">
        <v>21</v>
      </c>
      <c r="L14" t="str">
        <f>K14&amp;". "&amp;INDEX(Scoring!$H:$H,MATCH(Validation!K14,Scoring!$D:$D,0))</f>
        <v>21. Percentage of large vehicles in peak hour</v>
      </c>
      <c r="M14">
        <v>58</v>
      </c>
      <c r="N14" t="str">
        <f>M14&amp;". "&amp;INDEX(Scoring!$H:$H,MATCH(Validation!M14,Scoring!$D:$D,0))</f>
        <v>58. Standard of lighting</v>
      </c>
    </row>
    <row r="15" spans="1:22" x14ac:dyDescent="0.35">
      <c r="K15">
        <v>22</v>
      </c>
      <c r="L15" t="str">
        <f>K15&amp;". "&amp;INDEX(Scoring!$H:$H,MATCH(Validation!K15,Scoring!$D:$D,0))</f>
        <v>22. Clear nearside space in secondary position or motor vehicle volume in primary position</v>
      </c>
      <c r="M15">
        <v>59</v>
      </c>
      <c r="N15" t="str">
        <f>M15&amp;". "&amp;INDEX(Scoring!$H:$H,MATCH(Validation!M15,Scoring!$D:$D,0))</f>
        <v>59. Existing steps or new/upgraded structures</v>
      </c>
    </row>
  </sheetData>
  <phoneticPr fontId="51" type="noConversion"/>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7F2-2561-4179-B2BF-CC747DEBFDB6}">
  <sheetPr>
    <tabColor theme="4" tint="0.39997558519241921"/>
  </sheetPr>
  <dimension ref="A1"/>
  <sheetViews>
    <sheetView zoomScale="80" zoomScaleNormal="80" workbookViewId="0">
      <selection activeCell="T30" sqref="T30"/>
    </sheetView>
  </sheetViews>
  <sheetFormatPr defaultRowHeight="14.5" x14ac:dyDescent="0.35"/>
  <sheetData/>
  <sheetProtection algorithmName="SHA-512" hashValue="HWPrIkmz98vVoH5Uq5hghcCk1KJKKSGEZg04nVu+Lx/jk5A7J7MlVUL3LypmmrcgcSg/KBFGg08izw+mJwJpzg==" saltValue="IYnlORk5ZEqWPXU24o+s1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trategy - CT" ma:contentTypeID="0x01010031BB93855D3F434BA852F79FCC145499005CD7726AE8813144BE713644D1D7A1FA" ma:contentTypeVersion="50" ma:contentTypeDescription="" ma:contentTypeScope="" ma:versionID="8d15d7ce33efb1adf7582cb64c35cd1e">
  <xsd:schema xmlns:xsd="http://www.w3.org/2001/XMLSchema" xmlns:xs="http://www.w3.org/2001/XMLSchema" xmlns:p="http://schemas.microsoft.com/office/2006/metadata/properties" xmlns:ns2="ca061dc3-8892-4c10-83de-3bd90307102c" xmlns:ns3="b749c988-720a-4621-89a4-19f7ccad86a8" xmlns:ns4="http://schemas.microsoft.com/sharepoint/v3/fields" xmlns:ns5="f95857e7-7175-4d9d-8278-b2efc1609796" targetNamespace="http://schemas.microsoft.com/office/2006/metadata/properties" ma:root="true" ma:fieldsID="bc3520092dcc9b10ec0f5cc34b6879a7" ns2:_="" ns3:_="" ns4:_="" ns5:_="">
    <xsd:import namespace="ca061dc3-8892-4c10-83de-3bd90307102c"/>
    <xsd:import namespace="b749c988-720a-4621-89a4-19f7ccad86a8"/>
    <xsd:import namespace="http://schemas.microsoft.com/sharepoint/v3/fields"/>
    <xsd:import namespace="f95857e7-7175-4d9d-8278-b2efc1609796"/>
    <xsd:element name="properties">
      <xsd:complexType>
        <xsd:sequence>
          <xsd:element name="documentManagement">
            <xsd:complexType>
              <xsd:all>
                <xsd:element ref="ns2:GMIP_x0020_Doc_x0020_Type" minOccurs="0"/>
                <xsd:element ref="ns2:Reason_x0020_for_x0020_Issue" minOccurs="0"/>
                <xsd:element ref="ns2:Topic" minOccurs="0"/>
                <xsd:element ref="ns2:Archived" minOccurs="0"/>
                <xsd:element ref="ns3:Meeting_x0020_Date" minOccurs="0"/>
                <xsd:element ref="ns3:_dlc_DocId" minOccurs="0"/>
                <xsd:element ref="ns3:_dlc_DocIdUrl" minOccurs="0"/>
                <xsd:element ref="ns3:_dlc_DocIdPersistId" minOccurs="0"/>
                <xsd:element ref="ns3:External_x0020_Reference" minOccurs="0"/>
                <xsd:element ref="ns4:_Revision" minOccurs="0"/>
                <xsd:element ref="ns2:GMIP_x0020_Discipline" minOccurs="0"/>
                <xsd:element ref="ns2:TaxCatchAll" minOccurs="0"/>
                <xsd:element ref="ns2:TaxCatchAllLabel" minOccurs="0"/>
                <xsd:element ref="ns5:MediaServiceMetadata" minOccurs="0"/>
                <xsd:element ref="ns5:MediaServiceFastMetadata" minOccurs="0"/>
                <xsd:element ref="ns5:MediaServiceAutoKeyPoints" minOccurs="0"/>
                <xsd:element ref="ns5:MediaServiceKeyPoints" minOccurs="0"/>
                <xsd:element ref="ns2:Notes1" minOccurs="0"/>
                <xsd:element ref="ns2:SharedWithUsers" minOccurs="0"/>
                <xsd:element ref="ns2:SharedWithDetails" minOccurs="0"/>
                <xsd:element ref="ns5:MediaServiceObjectDetectorVersions" minOccurs="0"/>
                <xsd:element ref="ns5:MediaServiceSearchPropertie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61dc3-8892-4c10-83de-3bd90307102c" elementFormDefault="qualified">
    <xsd:import namespace="http://schemas.microsoft.com/office/2006/documentManagement/types"/>
    <xsd:import namespace="http://schemas.microsoft.com/office/infopath/2007/PartnerControls"/>
    <xsd:element name="GMIP_x0020_Doc_x0020_Type" ma:index="1" nillable="true" ma:displayName="Strategy Doc Type" ma:format="Dropdown" ma:internalName="GMIP_x0020_Doc_x0020_Type" ma:readOnly="false">
      <xsd:simpleType>
        <xsd:restriction base="dms:Choice">
          <xsd:enumeration value="AGE - Agenda"/>
          <xsd:enumeration value="BUC - Business Case"/>
          <xsd:enumeration value="CND - Contract Documentation"/>
          <xsd:enumeration value="COP - Cost Plan"/>
          <xsd:enumeration value="COR - Correspondence / feedback"/>
          <xsd:enumeration value="MET - Method Statement / Calculations"/>
          <xsd:enumeration value="MIN - Minutes/Actions notes"/>
          <xsd:enumeration value="MOD – Model file"/>
          <xsd:enumeration value="IMG - Image / Map / Plan"/>
          <xsd:enumeration value="PLN - Project Plan"/>
          <xsd:enumeration value="PPP - Presentation"/>
          <xsd:enumeration value="PRG - Programme"/>
          <xsd:enumeration value="PUB - TfGM Publication"/>
          <xsd:enumeration value="REF  - External reference material"/>
          <xsd:enumeration value="RPB - Reports - Board"/>
          <xsd:enumeration value="RPT - Report"/>
          <xsd:enumeration value="TCN - Technical Note"/>
          <xsd:enumeration value="TEM - Template"/>
          <xsd:enumeration value="TEN - Tender Documents"/>
          <xsd:enumeration value="TRA - Tracker"/>
          <xsd:enumeration value="WNT - Working Note"/>
        </xsd:restriction>
      </xsd:simpleType>
    </xsd:element>
    <xsd:element name="Reason_x0020_for_x0020_Issue" ma:index="2" nillable="true" ma:displayName="Reason for Issue" ma:format="Dropdown" ma:internalName="Reason_x0020_for_x0020_Issue" ma:readOnly="false">
      <xsd:simpleType>
        <xsd:union memberTypes="dms:Text">
          <xsd:simpleType>
            <xsd:restriction base="dms:Choice">
              <xsd:enumeration value="Work in Progress"/>
              <xsd:enumeration value="For Information"/>
              <xsd:enumeration value="For Public Consultation"/>
              <xsd:enumeration value="For Review and Comment"/>
              <xsd:enumeration value="Final issue"/>
              <xsd:enumeration value="Paused WIP"/>
              <xsd:enumeration value="Superseded"/>
              <xsd:enumeration value="DELETE"/>
            </xsd:restriction>
          </xsd:simpleType>
        </xsd:union>
      </xsd:simpleType>
    </xsd:element>
    <xsd:element name="Topic" ma:index="3" nillable="true" ma:displayName="Topic" ma:format="Dropdown" ma:internalName="Topic" ma:readOnly="false">
      <xsd:simpleType>
        <xsd:restriction base="dms:Choice">
          <xsd:enumeration value="Streets for All Design Guide"/>
          <xsd:enumeration value="SuDS Design Guide"/>
          <xsd:enumeration value="Stops and Stations Design Guide"/>
          <xsd:enumeration value="Bus Priority Design Guide"/>
          <xsd:enumeration value="Active Travel Design Guide"/>
          <xsd:enumeration value="Streets for All Check"/>
          <xsd:enumeration value="Stakeholder Engagement"/>
          <xsd:enumeration value="S4A DRP"/>
          <xsd:enumeration value="Bus Stop Design Guide"/>
          <xsd:enumeration value="Stops Stations and Interchanges Design Guide"/>
        </xsd:restriction>
      </xsd:simpleType>
    </xsd:element>
    <xsd:element name="Archived" ma:index="4" nillable="true" ma:displayName="Archived" ma:default="0" ma:internalName="Archived" ma:readOnly="false">
      <xsd:simpleType>
        <xsd:restriction base="dms:Boolean"/>
      </xsd:simpleType>
    </xsd:element>
    <xsd:element name="GMIP_x0020_Discipline" ma:index="13" nillable="true" ma:displayName="Strategy Discipline" ma:format="Dropdown" ma:hidden="true" ma:internalName="GMIP_x0020_Discipline" ma:readOnly="false">
      <xsd:simpleType>
        <xsd:restriction base="dms:Choice">
          <xsd:enumeration value="AC - Accessibility"/>
          <xsd:enumeration value="AR - Architectural"/>
          <xsd:enumeration value="AU - Audit"/>
          <xsd:enumeration value="BO - Bus Operations"/>
          <xsd:enumeration value="CM - Contract Management"/>
          <xsd:enumeration value="CS - Civil and Structures"/>
          <xsd:enumeration value="DE - Demolition"/>
          <xsd:enumeration value="DM - Document Management"/>
          <xsd:enumeration value="DR - Drainage"/>
          <xsd:enumeration value="EL - Electrical"/>
          <xsd:enumeration value="EN - Environmental"/>
          <xsd:enumeration value="ET - Estates"/>
          <xsd:enumeration value="FE - Fire Engineering"/>
          <xsd:enumeration value="FM - Facilities Management"/>
          <xsd:enumeration value="FN - Finance"/>
          <xsd:enumeration value="HR - Human Resources"/>
          <xsd:enumeration value="HS - Health and Safety"/>
          <xsd:enumeration value="HW - Highways"/>
          <xsd:enumeration value="IS - Information Services"/>
          <xsd:enumeration value="LG - Legal"/>
          <xsd:enumeration value="MD - Multi-Discipline"/>
          <xsd:enumeration value="ME - Mechanical"/>
          <xsd:enumeration value="ML - Metrolink"/>
          <xsd:enumeration value="MP - Mechanical, Electrical &amp; Plumbing"/>
          <xsd:enumeration value="OP - Operations"/>
          <xsd:enumeration value="PA - Public Art"/>
          <xsd:enumeration value="PC - Project Controls"/>
          <xsd:enumeration value="PI - Piling"/>
          <xsd:enumeration value="PL - Planning"/>
          <xsd:enumeration value="PM - Project Management"/>
          <xsd:enumeration value="PT - Procurement"/>
          <xsd:enumeration value="RA - Rail"/>
          <xsd:enumeration value="RF - Roofing"/>
          <xsd:enumeration value="RK - Risk"/>
          <xsd:enumeration value="RS - Railway Systems"/>
          <xsd:enumeration value="SG - Signalling (UTC)"/>
          <xsd:enumeration value="SH - Stakeholder"/>
          <xsd:enumeration value="ST - Strategy"/>
          <xsd:enumeration value="SU - Statutory Undertakers and Diversions"/>
          <xsd:enumeration value="SW - Steelwork"/>
          <xsd:enumeration value="TE - Traffic Engineering"/>
          <xsd:enumeration value="TM - Traffic Management"/>
          <xsd:enumeration value="TS - Transport Services"/>
        </xsd:restriction>
      </xsd:simpleType>
    </xsd:element>
    <xsd:element name="TaxCatchAll" ma:index="17" nillable="true" ma:displayName="Taxonomy Catch All Column" ma:hidden="true" ma:list="{e6a93c98-4016-46ae-b36d-25f7e6f99a17}" ma:internalName="TaxCatchAll" ma:readOnly="false" ma:showField="CatchAllData" ma:web="ca061dc3-8892-4c10-83de-3bd90307102c">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list="{e6a93c98-4016-46ae-b36d-25f7e6f99a17}" ma:internalName="TaxCatchAllLabel" ma:readOnly="true" ma:showField="CatchAllDataLabel" ma:web="ca061dc3-8892-4c10-83de-3bd90307102c">
      <xsd:complexType>
        <xsd:complexContent>
          <xsd:extension base="dms:MultiChoiceLookup">
            <xsd:sequence>
              <xsd:element name="Value" type="dms:Lookup" maxOccurs="unbounded" minOccurs="0" nillable="true"/>
            </xsd:sequence>
          </xsd:extension>
        </xsd:complexContent>
      </xsd:complexType>
    </xsd:element>
    <xsd:element name="Notes1" ma:index="25" nillable="true" ma:displayName="Notes" ma:internalName="Notes1">
      <xsd:simpleType>
        <xsd:restriction base="dms:Note">
          <xsd:maxLength value="255"/>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49c988-720a-4621-89a4-19f7ccad86a8" elementFormDefault="qualified">
    <xsd:import namespace="http://schemas.microsoft.com/office/2006/documentManagement/types"/>
    <xsd:import namespace="http://schemas.microsoft.com/office/infopath/2007/PartnerControls"/>
    <xsd:element name="Meeting_x0020_Date" ma:index="7" nillable="true" ma:displayName="Meeting Date" ma:format="DateOnly" ma:internalName="Meeting_x0020_Date" ma:readOnly="false">
      <xsd:simpleType>
        <xsd:restriction base="dms:DateTime"/>
      </xsd:simpleType>
    </xsd:element>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External_x0020_Reference" ma:index="11" nillable="true" ma:displayName="External Reference" ma:hidden="true" ma:internalName="External_x0020_Referenc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Revision" ma:index="12" nillable="true" ma:displayName="Revision" ma:hidden="true" ma:internalName="_Revi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57e7-7175-4d9d-8278-b2efc16097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77f2d43-4c51-4591-8d14-b2c54a7918c5" ma:termSetId="09814cd3-568e-fe90-9814-8d621ff8fb84" ma:anchorId="fba54fb3-c3e1-fe81-a776-ca4b69148c4d" ma:open="true" ma:isKeyword="false">
      <xsd:complexType>
        <xsd:sequence>
          <xsd:element ref="pc:Terms" minOccurs="0" maxOccurs="1"/>
        </xsd:sequence>
      </xsd:complex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DateTaken" ma:index="35" nillable="true" ma:displayName="MediaServiceDateTaken" ma:hidden="true" ma:indexed="true" ma:internalName="MediaServiceDateTaken"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PersistId xmlns="b749c988-720a-4621-89a4-19f7ccad86a8" xsi:nil="true"/>
    <GMIP_x0020_Discipline xmlns="ca061dc3-8892-4c10-83de-3bd90307102c" xsi:nil="true"/>
    <TaxCatchAll xmlns="ca061dc3-8892-4c10-83de-3bd90307102c" xsi:nil="true"/>
    <Notes1 xmlns="ca061dc3-8892-4c10-83de-3bd90307102c" xsi:nil="true"/>
    <lcf76f155ced4ddcb4097134ff3c332f xmlns="f95857e7-7175-4d9d-8278-b2efc1609796">
      <Terms xmlns="http://schemas.microsoft.com/office/infopath/2007/PartnerControls"/>
    </lcf76f155ced4ddcb4097134ff3c332f>
    <GMIP_x0020_Doc_x0020_Type xmlns="ca061dc3-8892-4c10-83de-3bd90307102c" xsi:nil="true"/>
    <External_x0020_Reference xmlns="b749c988-720a-4621-89a4-19f7ccad86a8" xsi:nil="true"/>
    <_Revision xmlns="http://schemas.microsoft.com/sharepoint/v3/fields" xsi:nil="true"/>
    <Reason_x0020_for_x0020_Issue xmlns="ca061dc3-8892-4c10-83de-3bd90307102c" xsi:nil="true"/>
    <Archived xmlns="ca061dc3-8892-4c10-83de-3bd90307102c">false</Archived>
    <Topic xmlns="ca061dc3-8892-4c10-83de-3bd90307102c" xsi:nil="true"/>
    <Meeting_x0020_Date xmlns="b749c988-720a-4621-89a4-19f7ccad86a8" xsi:nil="true"/>
    <_dlc_DocId xmlns="b749c988-720a-4621-89a4-19f7ccad86a8">ZNUW5ZWYZFJY-1694520289-466</_dlc_DocId>
    <_dlc_DocIdUrl xmlns="b749c988-720a-4621-89a4-19f7ccad86a8">
      <Url>https://tfgmserverteamoutlook.sharepoint.com/sites/str/StrategicPlanning/S4ADesignGuide/_layouts/15/DocIdRedir.aspx?ID=ZNUW5ZWYZFJY-1694520289-466</Url>
      <Description>ZNUW5ZWYZFJY-1694520289-466</Description>
    </_dlc_DocIdUrl>
    <SharedWithUsers xmlns="ca061dc3-8892-4c10-83de-3bd90307102c">
      <UserInfo>
        <DisplayName>Catherine Osborn</DisplayName>
        <AccountId>698</AccountId>
        <AccountType/>
      </UserInfo>
      <UserInfo>
        <DisplayName>Dominic Smith</DisplayName>
        <AccountId>72</AccountId>
        <AccountType/>
      </UserInfo>
      <UserInfo>
        <DisplayName>David Lacey</DisplayName>
        <AccountId>189</AccountId>
        <AccountType/>
      </UserInfo>
      <UserInfo>
        <DisplayName>Lily Feasby</DisplayName>
        <AccountId>708</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77E388B-CAE7-46A0-AEE4-8365FE9E3E7D}"/>
</file>

<file path=customXml/itemProps2.xml><?xml version="1.0" encoding="utf-8"?>
<ds:datastoreItem xmlns:ds="http://schemas.openxmlformats.org/officeDocument/2006/customXml" ds:itemID="{F873E7CC-C582-4C3C-8DF4-368108AD0A95}">
  <ds:schemaRefs>
    <ds:schemaRef ds:uri="http://schemas.microsoft.com/sharepoint/v3/contenttype/forms"/>
  </ds:schemaRefs>
</ds:datastoreItem>
</file>

<file path=customXml/itemProps3.xml><?xml version="1.0" encoding="utf-8"?>
<ds:datastoreItem xmlns:ds="http://schemas.openxmlformats.org/officeDocument/2006/customXml" ds:itemID="{8727CE90-87F4-47D7-93B5-79CAB4F82C1F}">
  <ds:schemaRefs>
    <ds:schemaRef ds:uri="http://schemas.microsoft.com/office/2006/metadata/properties"/>
    <ds:schemaRef ds:uri="http://purl.org/dc/terms/"/>
    <ds:schemaRef ds:uri="http://purl.org/dc/elements/1.1/"/>
    <ds:schemaRef ds:uri="http://schemas.microsoft.com/office/infopath/2007/PartnerControls"/>
    <ds:schemaRef ds:uri="http://purl.org/dc/dcmitype/"/>
    <ds:schemaRef ds:uri="http://www.w3.org/XML/1998/namespace"/>
    <ds:schemaRef ds:uri="http://schemas.microsoft.com/office/2006/documentManagement/types"/>
    <ds:schemaRef ds:uri="http://schemas.openxmlformats.org/package/2006/metadata/core-properties"/>
    <ds:schemaRef ds:uri="b749c988-720a-4621-89a4-19f7ccad86a8"/>
    <ds:schemaRef ds:uri="f95857e7-7175-4d9d-8278-b2efc1609796"/>
    <ds:schemaRef ds:uri="http://schemas.microsoft.com/sharepoint/v3/fields"/>
    <ds:schemaRef ds:uri="ca061dc3-8892-4c10-83de-3bd90307102c"/>
  </ds:schemaRefs>
</ds:datastoreItem>
</file>

<file path=customXml/itemProps4.xml><?xml version="1.0" encoding="utf-8"?>
<ds:datastoreItem xmlns:ds="http://schemas.openxmlformats.org/officeDocument/2006/customXml" ds:itemID="{CC83F24A-3B91-4001-8035-9B65927C23CA}">
  <ds:schemaRefs>
    <ds:schemaRef ds:uri="http://schemas.microsoft.com/sharepoint/events"/>
  </ds:schemaRefs>
</ds:datastoreItem>
</file>

<file path=docMetadata/LabelInfo.xml><?xml version="1.0" encoding="utf-8"?>
<clbl:labelList xmlns:clbl="http://schemas.microsoft.com/office/2020/mipLabelMetadata">
  <clbl:label id="{377e3d22-4ea1-422d-b0ad-8fcc89406b9e}" enabled="0" method="" siteId="{377e3d22-4ea1-422d-b0ad-8fcc89406b9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Home</vt:lpstr>
      <vt:lpstr>About</vt:lpstr>
      <vt:lpstr>Project</vt:lpstr>
      <vt:lpstr>Scoring</vt:lpstr>
      <vt:lpstr>Results</vt:lpstr>
      <vt:lpstr>Results (health)</vt:lpstr>
      <vt:lpstr>Results health</vt:lpstr>
      <vt:lpstr>Validation</vt:lpstr>
      <vt:lpstr>GM Street Types</vt:lpstr>
      <vt:lpstr>Results (people)</vt:lpstr>
      <vt:lpstr>How the score is generated</vt:lpstr>
      <vt:lpstr>How the score is generated (H)</vt:lpstr>
      <vt:lpstr>How the score is generated (P)</vt:lpstr>
      <vt:lpstr>Health assumptions</vt:lpstr>
      <vt:lpstr>Scoring (health)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Sunderland, Niall</dc:creator>
  <cp:keywords/>
  <dc:description/>
  <cp:lastModifiedBy>Lily Feasby</cp:lastModifiedBy>
  <cp:revision/>
  <cp:lastPrinted>2023-09-05T13:05:56Z</cp:lastPrinted>
  <dcterms:created xsi:type="dcterms:W3CDTF">2015-06-05T18:17:20Z</dcterms:created>
  <dcterms:modified xsi:type="dcterms:W3CDTF">2024-05-21T16:03:27Z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0x01010031BB93855D3F434BA852F79FCC145499005CD7726AE8813144BE713644D1D7A1FA</vt:lpwstr>
  </property>
  <property fmtid="{D5CDD505-2E9C-101B-9397-08002B2CF9AE}" pid="3" name="_dlc_DocIdItemGuid">
    <vt:lpwstr>a4f22459-5917-4167-a89f-92c09c39605a</vt:lpwstr>
  </property>
  <property fmtid="{D5CDD505-2E9C-101B-9397-08002B2CF9AE}" pid="4" name="Archived">
    <vt:bool>false</vt:bool>
  </property>
  <property fmtid="{D5CDD505-2E9C-101B-9397-08002B2CF9AE}" pid="5" name="mc7ec1735b6e4b5591a399082bb2d4dc">
    <vt:lpwstr/>
  </property>
  <property fmtid="{D5CDD505-2E9C-101B-9397-08002B2CF9AE}" pid="6" name="MediaServiceImageTags">
    <vt:lpwstr/>
  </property>
  <property fmtid="{D5CDD505-2E9C-101B-9397-08002B2CF9AE}" pid="7" name="PMSProjectNumber">
    <vt:lpwstr/>
  </property>
  <property fmtid="{D5CDD505-2E9C-101B-9397-08002B2CF9AE}" pid="8" name="PMSProgram">
    <vt:lpwstr/>
  </property>
  <property fmtid="{D5CDD505-2E9C-101B-9397-08002B2CF9AE}" pid="9" name="fd34b4d4bc454738a2d81cab6c696f02">
    <vt:lpwstr/>
  </property>
</Properties>
</file>