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edelsevier-my.sharepoint.com/personal/kumarn004_science_regn_net/Documents/Reports and Scripts - Ton/APC/"/>
    </mc:Choice>
  </mc:AlternateContent>
  <xr:revisionPtr revIDLastSave="15" documentId="11_BCD00028B69914FC6D5BA77D0985DE2F2B11034D" xr6:coauthVersionLast="47" xr6:coauthVersionMax="47" xr10:uidLastSave="{537CCB21-29C6-47E7-9E41-E96DCA5CDA5A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86" i="1" l="1"/>
  <c r="B3085" i="1"/>
  <c r="B3084" i="1"/>
  <c r="B3083" i="1"/>
  <c r="B3082" i="1"/>
  <c r="B3081" i="1"/>
  <c r="B3080" i="1"/>
  <c r="B3079" i="1"/>
  <c r="B3078" i="1"/>
  <c r="B3077" i="1"/>
  <c r="B3076" i="1"/>
  <c r="B3075" i="1"/>
  <c r="B3074" i="1"/>
  <c r="B3073" i="1"/>
  <c r="B3072" i="1"/>
  <c r="B3071" i="1"/>
  <c r="B3070" i="1"/>
  <c r="B3069" i="1"/>
  <c r="B3068" i="1"/>
  <c r="B3067" i="1"/>
  <c r="B3066" i="1"/>
  <c r="B3065" i="1"/>
  <c r="B3064" i="1"/>
  <c r="B3063" i="1"/>
  <c r="B3062" i="1"/>
  <c r="B3061" i="1"/>
  <c r="B3060" i="1"/>
  <c r="B3059" i="1"/>
  <c r="B3058" i="1"/>
  <c r="B3057" i="1"/>
  <c r="B3056" i="1"/>
  <c r="B3055" i="1"/>
  <c r="B3054" i="1"/>
  <c r="B3053" i="1"/>
  <c r="B3052" i="1"/>
  <c r="B3051" i="1"/>
  <c r="B3050" i="1"/>
  <c r="B3049" i="1"/>
  <c r="B3048" i="1"/>
  <c r="B3047" i="1"/>
  <c r="B3046" i="1"/>
  <c r="B3045" i="1"/>
  <c r="B3044" i="1"/>
  <c r="B3043" i="1"/>
  <c r="B3042" i="1"/>
  <c r="B3041" i="1"/>
  <c r="B3040" i="1"/>
  <c r="B3039" i="1"/>
  <c r="B3038" i="1"/>
  <c r="B3037" i="1"/>
  <c r="B3036" i="1"/>
  <c r="B3035" i="1"/>
  <c r="B3034" i="1"/>
  <c r="B3033" i="1"/>
  <c r="B3032" i="1"/>
  <c r="B3031" i="1"/>
  <c r="B3030" i="1"/>
  <c r="B3029" i="1"/>
  <c r="B3028" i="1"/>
  <c r="B3027" i="1"/>
  <c r="B3026" i="1"/>
  <c r="B3025" i="1"/>
  <c r="B3024" i="1"/>
  <c r="B3023" i="1"/>
  <c r="B3022" i="1"/>
  <c r="B3021" i="1"/>
  <c r="B3020" i="1"/>
  <c r="B3019" i="1"/>
  <c r="B3018" i="1"/>
  <c r="B3017" i="1"/>
  <c r="B3016" i="1"/>
  <c r="B3015" i="1"/>
  <c r="B3014" i="1"/>
  <c r="B3013" i="1"/>
  <c r="B3012" i="1"/>
  <c r="B3011" i="1"/>
  <c r="B3010" i="1"/>
  <c r="B3009" i="1"/>
  <c r="B3008" i="1"/>
  <c r="B3007" i="1"/>
  <c r="B3006" i="1"/>
  <c r="B3005" i="1"/>
  <c r="B3004" i="1"/>
  <c r="B3003" i="1"/>
  <c r="B3002" i="1"/>
  <c r="B3001" i="1"/>
  <c r="B3000" i="1"/>
  <c r="B2999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<sst xmlns="http://schemas.openxmlformats.org/spreadsheetml/2006/main" count="7375" uniqueCount="3317">
  <si>
    <t>Article Publishing Charge (APC) price list *</t>
  </si>
  <si>
    <t>All prices excluding taxes. Prices as of date: 16-Oct-2025</t>
  </si>
  <si>
    <t>ISSN</t>
  </si>
  <si>
    <t>Title</t>
  </si>
  <si>
    <t>Business model</t>
  </si>
  <si>
    <t>USD</t>
  </si>
  <si>
    <t>EUR</t>
  </si>
  <si>
    <t>GBP</t>
  </si>
  <si>
    <t>JPY</t>
  </si>
  <si>
    <t>0361-3682</t>
  </si>
  <si>
    <t>Hybrid</t>
  </si>
  <si>
    <t>3230"</t>
  </si>
  <si>
    <t>0167-8809</t>
  </si>
  <si>
    <t>4190"</t>
  </si>
  <si>
    <t>3920"</t>
  </si>
  <si>
    <t>3350"</t>
  </si>
  <si>
    <t>519690"</t>
  </si>
  <si>
    <t>1081-1206</t>
  </si>
  <si>
    <t>3400"</t>
  </si>
  <si>
    <t>3180"</t>
  </si>
  <si>
    <t>2720"</t>
  </si>
  <si>
    <t>421700"</t>
  </si>
  <si>
    <t>2666-061X</t>
  </si>
  <si>
    <t>Open access</t>
  </si>
  <si>
    <t>2000"</t>
  </si>
  <si>
    <t>1870"</t>
  </si>
  <si>
    <t>1600"</t>
  </si>
  <si>
    <t>248060"</t>
  </si>
  <si>
    <t>2214-6873</t>
  </si>
  <si>
    <t>1000"</t>
  </si>
  <si>
    <t>940"</t>
  </si>
  <si>
    <t>800"</t>
  </si>
  <si>
    <t>124030"</t>
  </si>
  <si>
    <t>2772-4859</t>
  </si>
  <si>
    <t>Subsidised</t>
  </si>
  <si>
    <t>0"</t>
  </si>
  <si>
    <t>1079-9796</t>
  </si>
  <si>
    <t>4030"</t>
  </si>
  <si>
    <t>3770"</t>
  </si>
  <si>
    <t>499840"</t>
  </si>
  <si>
    <t>2950-3272</t>
  </si>
  <si>
    <t>3000"</t>
  </si>
  <si>
    <t>2810"</t>
  </si>
  <si>
    <t>2400"</t>
  </si>
  <si>
    <t>372090"</t>
  </si>
  <si>
    <t>2666-3546</t>
  </si>
  <si>
    <t>2890"</t>
  </si>
  <si>
    <t>2700"</t>
  </si>
  <si>
    <t>2310"</t>
  </si>
  <si>
    <t>358450"</t>
  </si>
  <si>
    <t>0889-1591</t>
  </si>
  <si>
    <t>5680"</t>
  </si>
  <si>
    <t>5310"</t>
  </si>
  <si>
    <t>4550"</t>
  </si>
  <si>
    <t>704490"</t>
  </si>
  <si>
    <t>0960-0779</t>
  </si>
  <si>
    <t>3970"</t>
  </si>
  <si>
    <t>3710"</t>
  </si>
  <si>
    <t>492400"</t>
  </si>
  <si>
    <t>2590-0544</t>
  </si>
  <si>
    <t>2120"</t>
  </si>
  <si>
    <t>1980"</t>
  </si>
  <si>
    <t>1700"</t>
  </si>
  <si>
    <t>262940"</t>
  </si>
  <si>
    <t>2325-4262</t>
  </si>
  <si>
    <t>1877-9166</t>
  </si>
  <si>
    <t>3210"</t>
  </si>
  <si>
    <t>2570"</t>
  </si>
  <si>
    <t>398140"</t>
  </si>
  <si>
    <t>2152-2650</t>
  </si>
  <si>
    <t>3890"</t>
  </si>
  <si>
    <t>3640"</t>
  </si>
  <si>
    <t>3110"</t>
  </si>
  <si>
    <t>482480"</t>
  </si>
  <si>
    <t>0147-9571</t>
  </si>
  <si>
    <t>3550"</t>
  </si>
  <si>
    <t>3320"</t>
  </si>
  <si>
    <t>2840"</t>
  </si>
  <si>
    <t>440310"</t>
  </si>
  <si>
    <t>0198-9715</t>
  </si>
  <si>
    <t>2211-6958</t>
  </si>
  <si>
    <t>3530"</t>
  </si>
  <si>
    <t>3020"</t>
  </si>
  <si>
    <t>467590"</t>
  </si>
  <si>
    <t>2667-1182</t>
  </si>
  <si>
    <t>1755-4586</t>
  </si>
  <si>
    <t>3300"</t>
  </si>
  <si>
    <t>2830"</t>
  </si>
  <si>
    <t>437830"</t>
  </si>
  <si>
    <t>2530-0164</t>
  </si>
  <si>
    <t>2050"</t>
  </si>
  <si>
    <t>1920"</t>
  </si>
  <si>
    <t>1640"</t>
  </si>
  <si>
    <t>254260"</t>
  </si>
  <si>
    <t>2530-0180</t>
  </si>
  <si>
    <t>2750"</t>
  </si>
  <si>
    <t>2575"</t>
  </si>
  <si>
    <t>2200"</t>
  </si>
  <si>
    <t>341410"</t>
  </si>
  <si>
    <t>2215-0986</t>
  </si>
  <si>
    <t>2215-1532</t>
  </si>
  <si>
    <t>3650"</t>
  </si>
  <si>
    <t>3410"</t>
  </si>
  <si>
    <t>2920"</t>
  </si>
  <si>
    <t>452710"</t>
  </si>
  <si>
    <t>0272-7714</t>
  </si>
  <si>
    <t>3190"</t>
  </si>
  <si>
    <t>2730"</t>
  </si>
  <si>
    <t>422940"</t>
  </si>
  <si>
    <t>2352-5525</t>
  </si>
  <si>
    <t>2460"</t>
  </si>
  <si>
    <t>2240"</t>
  </si>
  <si>
    <t>1970"</t>
  </si>
  <si>
    <t>305110"</t>
  </si>
  <si>
    <t>1879-7296</t>
  </si>
  <si>
    <t>3700"</t>
  </si>
  <si>
    <t>3370"</t>
  </si>
  <si>
    <t>2960"</t>
  </si>
  <si>
    <t>458910"</t>
  </si>
  <si>
    <t>2667-3967</t>
  </si>
  <si>
    <t>1672-0229</t>
  </si>
  <si>
    <t>1443-9506</t>
  </si>
  <si>
    <t>3260"</t>
  </si>
  <si>
    <t>3050"</t>
  </si>
  <si>
    <t>2610"</t>
  </si>
  <si>
    <t>404340"</t>
  </si>
  <si>
    <t>2531-1379</t>
  </si>
  <si>
    <t>2468-0451</t>
  </si>
  <si>
    <t>2450"</t>
  </si>
  <si>
    <t>2290"</t>
  </si>
  <si>
    <t>1960"</t>
  </si>
  <si>
    <t>303870"</t>
  </si>
  <si>
    <t>1567-1348</t>
  </si>
  <si>
    <t>2550"</t>
  </si>
  <si>
    <t>2190"</t>
  </si>
  <si>
    <t>338600"</t>
  </si>
  <si>
    <t>1756-0616</t>
  </si>
  <si>
    <t>3380"</t>
  </si>
  <si>
    <t>3160"</t>
  </si>
  <si>
    <t>2710"</t>
  </si>
  <si>
    <t>419220"</t>
  </si>
  <si>
    <t>0360-3016</t>
  </si>
  <si>
    <t>4130"</t>
  </si>
  <si>
    <t>3860"</t>
  </si>
  <si>
    <t>3310"</t>
  </si>
  <si>
    <t>512240"</t>
  </si>
  <si>
    <t>0097-3165</t>
  </si>
  <si>
    <t>4210"</t>
  </si>
  <si>
    <t>3940"</t>
  </si>
  <si>
    <t>522170"</t>
  </si>
  <si>
    <t>0095-8956</t>
  </si>
  <si>
    <t>4150"</t>
  </si>
  <si>
    <t>3880"</t>
  </si>
  <si>
    <t>514720"</t>
  </si>
  <si>
    <t>1473-8376</t>
  </si>
  <si>
    <t>3540"</t>
  </si>
  <si>
    <t>439070"</t>
  </si>
  <si>
    <t>1061-9518</t>
  </si>
  <si>
    <t>3490"</t>
  </si>
  <si>
    <t>2790"</t>
  </si>
  <si>
    <t>432860"</t>
  </si>
  <si>
    <t>1042-4431</t>
  </si>
  <si>
    <t>2930"</t>
  </si>
  <si>
    <t>2740"</t>
  </si>
  <si>
    <t>2350"</t>
  </si>
  <si>
    <t>363410"</t>
  </si>
  <si>
    <t>2949-916X</t>
  </si>
  <si>
    <t>1900"</t>
  </si>
  <si>
    <t>1780"</t>
  </si>
  <si>
    <t>1520"</t>
  </si>
  <si>
    <t>235660"</t>
  </si>
  <si>
    <t>1684-1182</t>
  </si>
  <si>
    <t>3270"</t>
  </si>
  <si>
    <t>3060"</t>
  </si>
  <si>
    <t>2620"</t>
  </si>
  <si>
    <t>405580"</t>
  </si>
  <si>
    <t>0884-2175</t>
  </si>
  <si>
    <t>2199-8531</t>
  </si>
  <si>
    <t>1250"</t>
  </si>
  <si>
    <t>1170"</t>
  </si>
  <si>
    <t>155040"</t>
  </si>
  <si>
    <t>2212-5558</t>
  </si>
  <si>
    <t>2530"</t>
  </si>
  <si>
    <t>2160"</t>
  </si>
  <si>
    <t>334880"</t>
  </si>
  <si>
    <t>1748-6815</t>
  </si>
  <si>
    <t>3470"</t>
  </si>
  <si>
    <t>3250"</t>
  </si>
  <si>
    <t>2780"</t>
  </si>
  <si>
    <t>430380"</t>
  </si>
  <si>
    <t>2468-7855</t>
  </si>
  <si>
    <t>2990"</t>
  </si>
  <si>
    <t>2390"</t>
  </si>
  <si>
    <t>370850"</t>
  </si>
  <si>
    <t>2468-4287</t>
  </si>
  <si>
    <t>2666-6391</t>
  </si>
  <si>
    <t>1370"</t>
  </si>
  <si>
    <t>1280"</t>
  </si>
  <si>
    <t>1100"</t>
  </si>
  <si>
    <t>169920"</t>
  </si>
  <si>
    <t>1779-0123</t>
  </si>
  <si>
    <t>2270"</t>
  </si>
  <si>
    <t>2070"</t>
  </si>
  <si>
    <t>1820"</t>
  </si>
  <si>
    <t>281550"</t>
  </si>
  <si>
    <t>2468-9009</t>
  </si>
  <si>
    <t>2210-6561</t>
  </si>
  <si>
    <t>3030"</t>
  </si>
  <si>
    <t>2430"</t>
  </si>
  <si>
    <t>375810"</t>
  </si>
  <si>
    <t>2542-4548</t>
  </si>
  <si>
    <t>2773-0646</t>
  </si>
  <si>
    <t>1590"</t>
  </si>
  <si>
    <t>1490"</t>
  </si>
  <si>
    <t>1270"</t>
  </si>
  <si>
    <t>197210"</t>
  </si>
  <si>
    <t>1549-9634</t>
  </si>
  <si>
    <t>3670"</t>
  </si>
  <si>
    <t>3430"</t>
  </si>
  <si>
    <t>2940"</t>
  </si>
  <si>
    <t>455190"</t>
  </si>
  <si>
    <t>0168-9002</t>
  </si>
  <si>
    <t>2100"</t>
  </si>
  <si>
    <t>324960"</t>
  </si>
  <si>
    <t>0939-4753</t>
  </si>
  <si>
    <t>2212-4403</t>
  </si>
  <si>
    <t>0031-0182</t>
  </si>
  <si>
    <t>1433-8319</t>
  </si>
  <si>
    <t>3570"</t>
  </si>
  <si>
    <t>3340"</t>
  </si>
  <si>
    <t>2860"</t>
  </si>
  <si>
    <t>442790"</t>
  </si>
  <si>
    <t>1474-7065</t>
  </si>
  <si>
    <t>2900"</t>
  </si>
  <si>
    <t>2320"</t>
  </si>
  <si>
    <t>359690"</t>
  </si>
  <si>
    <t>0952-3278</t>
  </si>
  <si>
    <t>3790"</t>
  </si>
  <si>
    <t>470070"</t>
  </si>
  <si>
    <t>2772-6231</t>
  </si>
  <si>
    <t>1500"</t>
  </si>
  <si>
    <t>1400"</t>
  </si>
  <si>
    <t>1200"</t>
  </si>
  <si>
    <t>186050"</t>
  </si>
  <si>
    <t>0921-3449</t>
  </si>
  <si>
    <t>5270"</t>
  </si>
  <si>
    <t>4930"</t>
  </si>
  <si>
    <t>4220"</t>
  </si>
  <si>
    <t>653640"</t>
  </si>
  <si>
    <t>2667-3789</t>
  </si>
  <si>
    <t>2140"</t>
  </si>
  <si>
    <t>1830"</t>
  </si>
  <si>
    <t>284030"</t>
  </si>
  <si>
    <t>2666-9161</t>
  </si>
  <si>
    <t>0214-4603</t>
  </si>
  <si>
    <t>3100"</t>
  </si>
  <si>
    <t>2480"</t>
  </si>
  <si>
    <t>384490"</t>
  </si>
  <si>
    <t>0887-2171</t>
  </si>
  <si>
    <t>3460"</t>
  </si>
  <si>
    <t>3240"</t>
  </si>
  <si>
    <t>2770"</t>
  </si>
  <si>
    <t>429140"</t>
  </si>
  <si>
    <t>2405-8726</t>
  </si>
  <si>
    <t>2773-2339</t>
  </si>
  <si>
    <t>1360"</t>
  </si>
  <si>
    <t>210850"</t>
  </si>
  <si>
    <t>2352-4677</t>
  </si>
  <si>
    <t>2760"</t>
  </si>
  <si>
    <t>2580"</t>
  </si>
  <si>
    <t>2210"</t>
  </si>
  <si>
    <t>342320"</t>
  </si>
  <si>
    <t>2950-4929</t>
  </si>
  <si>
    <t>1680"</t>
  </si>
  <si>
    <t>260460"</t>
  </si>
  <si>
    <t>2950-3868</t>
  </si>
  <si>
    <t>1279-7707</t>
  </si>
  <si>
    <t>3450"</t>
  </si>
  <si>
    <t>427900"</t>
  </si>
  <si>
    <t>3050-5038</t>
  </si>
  <si>
    <t>7280"</t>
  </si>
  <si>
    <t>6810"</t>
  </si>
  <si>
    <t>5830"</t>
  </si>
  <si>
    <t>902940"</t>
  </si>
  <si>
    <t>2666-7193</t>
  </si>
  <si>
    <t>1570"</t>
  </si>
  <si>
    <t>1340"</t>
  </si>
  <si>
    <t>208370"</t>
  </si>
  <si>
    <t>2666-5581</t>
  </si>
  <si>
    <t>1540"</t>
  </si>
  <si>
    <t>1440"</t>
  </si>
  <si>
    <t>1230"</t>
  </si>
  <si>
    <t>191010"</t>
  </si>
  <si>
    <t>1865-9217</t>
  </si>
  <si>
    <t>354730"</t>
  </si>
  <si>
    <t>3050-9157</t>
  </si>
  <si>
    <t>2662-1738</t>
  </si>
  <si>
    <t>2374-2895</t>
  </si>
  <si>
    <t>1876-2859</t>
  </si>
  <si>
    <t>1076-6332</t>
  </si>
  <si>
    <t>0001-4575</t>
  </si>
  <si>
    <t>3050-5461</t>
  </si>
  <si>
    <t>2949-9453</t>
  </si>
  <si>
    <t>0094-5765</t>
  </si>
  <si>
    <t>1742-7061</t>
  </si>
  <si>
    <t>0122-7262</t>
  </si>
  <si>
    <t>0065-1281</t>
  </si>
  <si>
    <t>1359-6454</t>
  </si>
  <si>
    <t>1146-609X</t>
  </si>
  <si>
    <t>2173-5735</t>
  </si>
  <si>
    <t>0001-6519</t>
  </si>
  <si>
    <t>2211-3835</t>
  </si>
  <si>
    <t>1000-6818</t>
  </si>
  <si>
    <t>0001-6918</t>
  </si>
  <si>
    <t>0001-706X</t>
  </si>
  <si>
    <t>0001-7310</t>
  </si>
  <si>
    <t>0210-4806</t>
  </si>
  <si>
    <t>2173-5786</t>
  </si>
  <si>
    <t>1570-8705</t>
  </si>
  <si>
    <t>2772-3925</t>
  </si>
  <si>
    <t>0306-4603</t>
  </si>
  <si>
    <t>2352-8532</t>
  </si>
  <si>
    <t>2214-8604</t>
  </si>
  <si>
    <t>2950-4317</t>
  </si>
  <si>
    <t>**</t>
  </si>
  <si>
    <t>2772-3690</t>
  </si>
  <si>
    <t>2773-2371</t>
  </si>
  <si>
    <t>2950-3876</t>
  </si>
  <si>
    <t>2949-7825</t>
  </si>
  <si>
    <t>0169-409X</t>
  </si>
  <si>
    <t>1474-0346</t>
  </si>
  <si>
    <t>2950-273X</t>
  </si>
  <si>
    <t>2542-5048</t>
  </si>
  <si>
    <t>3051-1577</t>
  </si>
  <si>
    <t>2772-8234</t>
  </si>
  <si>
    <t>2949-9445</t>
  </si>
  <si>
    <t>3050-7170</t>
  </si>
  <si>
    <t>2772-834X</t>
  </si>
  <si>
    <t>0921-8831</t>
  </si>
  <si>
    <t>2773-045X</t>
  </si>
  <si>
    <t>0882-6110</t>
  </si>
  <si>
    <t>2666-7924</t>
  </si>
  <si>
    <t>0196-8858</t>
  </si>
  <si>
    <t>2667-1360</t>
  </si>
  <si>
    <t>2773-1391</t>
  </si>
  <si>
    <t>2212-4926</t>
  </si>
  <si>
    <t>2543-1064</t>
  </si>
  <si>
    <t>3051-0511</t>
  </si>
  <si>
    <t>2667-3940</t>
  </si>
  <si>
    <t>1674-9278</t>
  </si>
  <si>
    <t>0001-8686</t>
  </si>
  <si>
    <t>0965-9978</t>
  </si>
  <si>
    <t>2666-9129</t>
  </si>
  <si>
    <t>2212-9588</t>
  </si>
  <si>
    <t>2949-8139</t>
  </si>
  <si>
    <t>1569-4909</t>
  </si>
  <si>
    <t>0001-8708</t>
  </si>
  <si>
    <t>1896-1126</t>
  </si>
  <si>
    <t>2161-8313</t>
  </si>
  <si>
    <t>2667-3762</t>
  </si>
  <si>
    <t>2667-1476</t>
  </si>
  <si>
    <t>3050-6964</t>
  </si>
  <si>
    <t>2452-1094</t>
  </si>
  <si>
    <t>2667-1379</t>
  </si>
  <si>
    <t>2772-5820</t>
  </si>
  <si>
    <t>0273-1177</t>
  </si>
  <si>
    <t>0309-1708</t>
  </si>
  <si>
    <t>2950-6018</t>
  </si>
  <si>
    <t>3050-8592</t>
  </si>
  <si>
    <t>1875-9637</t>
  </si>
  <si>
    <t>1270-9638</t>
  </si>
  <si>
    <t>2950-3388</t>
  </si>
  <si>
    <t>1434-8411</t>
  </si>
  <si>
    <t>2211-419X</t>
  </si>
  <si>
    <t>2950-1962</t>
  </si>
  <si>
    <t>1568-1637</t>
  </si>
  <si>
    <t>1359-1789</t>
  </si>
  <si>
    <t>2667-0321</t>
  </si>
  <si>
    <t>2589-9589</t>
  </si>
  <si>
    <t>0168-1923</t>
  </si>
  <si>
    <t>0308-521X</t>
  </si>
  <si>
    <t>0378-3774</t>
  </si>
  <si>
    <t>2949-7981</t>
  </si>
  <si>
    <t>2666-6510</t>
  </si>
  <si>
    <t>3050-5852</t>
  </si>
  <si>
    <t>2090-4479</t>
  </si>
  <si>
    <t>1067-991X</t>
  </si>
  <si>
    <t>2950-2535</t>
  </si>
  <si>
    <t>2666-4305</t>
  </si>
  <si>
    <t>2666-5778</t>
  </si>
  <si>
    <t>2773-0654</t>
  </si>
  <si>
    <t>0741-8329</t>
  </si>
  <si>
    <t>1110-0168</t>
  </si>
  <si>
    <t>2211-9264</t>
  </si>
  <si>
    <t>1323-8930</t>
  </si>
  <si>
    <t>2949-9135</t>
  </si>
  <si>
    <t>0002-8703</t>
  </si>
  <si>
    <t>2666-6022</t>
  </si>
  <si>
    <t>0735-6757</t>
  </si>
  <si>
    <t>0196-6553</t>
  </si>
  <si>
    <t>0272-6386</t>
  </si>
  <si>
    <t>2667-0364</t>
  </si>
  <si>
    <t>0002-9378</t>
  </si>
  <si>
    <t>2589-9333</t>
  </si>
  <si>
    <t>0002-9394</t>
  </si>
  <si>
    <t>2451-9936</t>
  </si>
  <si>
    <t>0889-5406</t>
  </si>
  <si>
    <t>0196-0709</t>
  </si>
  <si>
    <t>0002-9459</t>
  </si>
  <si>
    <t>2666-6677</t>
  </si>
  <si>
    <t>0749-3797</t>
  </si>
  <si>
    <t>2215-0390</t>
  </si>
  <si>
    <t>1075-9964</t>
  </si>
  <si>
    <t>2352-5568</t>
  </si>
  <si>
    <t>0365-0596</t>
  </si>
  <si>
    <t>1695-4033</t>
  </si>
  <si>
    <t>2341-2879</t>
  </si>
  <si>
    <t>2213-6657</t>
  </si>
  <si>
    <t>0003-2670</t>
  </si>
  <si>
    <t>2590-1346</t>
  </si>
  <si>
    <t>0003-2697</t>
  </si>
  <si>
    <t>2352-5800</t>
  </si>
  <si>
    <t>1751-7311</t>
  </si>
  <si>
    <t>2772-6940</t>
  </si>
  <si>
    <t>0003-3472</t>
  </si>
  <si>
    <t>0377-8401</t>
  </si>
  <si>
    <t>2405-6545</t>
  </si>
  <si>
    <t>0378-4320</t>
  </si>
  <si>
    <t>2950-2489</t>
  </si>
  <si>
    <t>0003-4266</t>
  </si>
  <si>
    <t>0294-1260</t>
  </si>
  <si>
    <t>0151-9638</t>
  </si>
  <si>
    <t>0242-6498</t>
  </si>
  <si>
    <t>1879-7261</t>
  </si>
  <si>
    <t>0003-4487</t>
  </si>
  <si>
    <t>0003-4509</t>
  </si>
  <si>
    <t>None</t>
  </si>
  <si>
    <t>2666-9641</t>
  </si>
  <si>
    <t>0570-1783</t>
  </si>
  <si>
    <t>0940-9602</t>
  </si>
  <si>
    <t>1092-9134</t>
  </si>
  <si>
    <t>0196-0644</t>
  </si>
  <si>
    <t>1047-2797</t>
  </si>
  <si>
    <t>1665-2681</t>
  </si>
  <si>
    <t>2049-0801</t>
  </si>
  <si>
    <t>0306-4549</t>
  </si>
  <si>
    <t>0923-7534</t>
  </si>
  <si>
    <t>1877-0657</t>
  </si>
  <si>
    <t>0003-4916</t>
  </si>
  <si>
    <t>0168-0072</t>
  </si>
  <si>
    <t>0003-4967</t>
  </si>
  <si>
    <t>2772-9931</t>
  </si>
  <si>
    <t>0160-7383</t>
  </si>
  <si>
    <t>2666-9579</t>
  </si>
  <si>
    <t>0890-5096</t>
  </si>
  <si>
    <t>2772-6878</t>
  </si>
  <si>
    <t>1367-5788</t>
  </si>
  <si>
    <t>2213-3054</t>
  </si>
  <si>
    <t>0166-3542</t>
  </si>
  <si>
    <t>0195-6663</t>
  </si>
  <si>
    <t>2666-352X</t>
  </si>
  <si>
    <t>2666-4968</t>
  </si>
  <si>
    <t>0003-682X</t>
  </si>
  <si>
    <t>1063-5203</t>
  </si>
  <si>
    <t>0168-1591</t>
  </si>
  <si>
    <t>2590-2865</t>
  </si>
  <si>
    <t>0926-860X</t>
  </si>
  <si>
    <t>0926-3373</t>
  </si>
  <si>
    <t>2950-6484</t>
  </si>
  <si>
    <t>0169-1317</t>
  </si>
  <si>
    <t>2590-1974</t>
  </si>
  <si>
    <t>2666-7991</t>
  </si>
  <si>
    <t>0306-2619</t>
  </si>
  <si>
    <t>0003-6870</t>
  </si>
  <si>
    <t>2772-5022</t>
  </si>
  <si>
    <t>0883-2927</t>
  </si>
  <si>
    <t>0143-6228</t>
  </si>
  <si>
    <t>2352-9407</t>
  </si>
  <si>
    <t>0307-904X</t>
  </si>
  <si>
    <t>0096-3003</t>
  </si>
  <si>
    <t>0893-9659</t>
  </si>
  <si>
    <t>0168-9274</t>
  </si>
  <si>
    <t>0897-1897</t>
  </si>
  <si>
    <t>0141-1187</t>
  </si>
  <si>
    <t>0969-8043</t>
  </si>
  <si>
    <t>1568-4946</t>
  </si>
  <si>
    <t>0929-1393</t>
  </si>
  <si>
    <t>0169-4332</t>
  </si>
  <si>
    <t>2666-5239</t>
  </si>
  <si>
    <t>1359-4311</t>
  </si>
  <si>
    <t>2666-5069</t>
  </si>
  <si>
    <t>0144-8609</t>
  </si>
  <si>
    <t>0044-8486</t>
  </si>
  <si>
    <t>2468-550X</t>
  </si>
  <si>
    <t>2352-5134</t>
  </si>
  <si>
    <t>0304-3770</t>
  </si>
  <si>
    <t>0166-445X</t>
  </si>
  <si>
    <t>1687-1979</t>
  </si>
  <si>
    <t>1878-5352</t>
  </si>
  <si>
    <t>2352-2267</t>
  </si>
  <si>
    <t>0929-693X</t>
  </si>
  <si>
    <t>1261-694X</t>
  </si>
  <si>
    <t>1775-8785</t>
  </si>
  <si>
    <t>0003-9861</t>
  </si>
  <si>
    <t>1875-2136</t>
  </si>
  <si>
    <t>0167-4943</t>
  </si>
  <si>
    <t>2950-3078</t>
  </si>
  <si>
    <t>2950-3949</t>
  </si>
  <si>
    <t>0188-4409</t>
  </si>
  <si>
    <t>0003-9969</t>
  </si>
  <si>
    <t>0003-9993</t>
  </si>
  <si>
    <t>0883-9417</t>
  </si>
  <si>
    <t>2590-1095</t>
  </si>
  <si>
    <t>0300-2896</t>
  </si>
  <si>
    <t>0365-6691</t>
  </si>
  <si>
    <t>2173-5794</t>
  </si>
  <si>
    <t>2590-0056</t>
  </si>
  <si>
    <t>2352-3441</t>
  </si>
  <si>
    <t>1467-8039</t>
  </si>
  <si>
    <t>0749-8063</t>
  </si>
  <si>
    <t>2212-6287</t>
  </si>
  <si>
    <t>0004-3702</t>
  </si>
  <si>
    <t>2949-7477</t>
  </si>
  <si>
    <t>3050-8606</t>
  </si>
  <si>
    <t>2589-7217</t>
  </si>
  <si>
    <t>2666-5441</t>
  </si>
  <si>
    <t>0933-3657</t>
  </si>
  <si>
    <t>2667-3185</t>
  </si>
  <si>
    <t>2667-1115</t>
  </si>
  <si>
    <t>1029-3132</t>
  </si>
  <si>
    <t>2162-0989</t>
  </si>
  <si>
    <t>1818-0876</t>
  </si>
  <si>
    <t>1876-2018</t>
  </si>
  <si>
    <t>1568-4849</t>
  </si>
  <si>
    <t>2667-2391</t>
  </si>
  <si>
    <t>1015-9584</t>
  </si>
  <si>
    <t>2214-3882</t>
  </si>
  <si>
    <t>1976-1317</t>
  </si>
  <si>
    <t>2185-5560</t>
  </si>
  <si>
    <t>2949-6888</t>
  </si>
  <si>
    <t>3050-5674</t>
  </si>
  <si>
    <t>1075-2935</t>
  </si>
  <si>
    <t>2213-1337</t>
  </si>
  <si>
    <t>0927-6505</t>
  </si>
  <si>
    <t>0212-6567</t>
  </si>
  <si>
    <t>0021-9150</t>
  </si>
  <si>
    <t>2667-0895</t>
  </si>
  <si>
    <t>1674-2834</t>
  </si>
  <si>
    <t>1352-2310</t>
  </si>
  <si>
    <t>2590-1621</t>
  </si>
  <si>
    <t>1309-1042</t>
  </si>
  <si>
    <t>0169-8095</t>
  </si>
  <si>
    <t>0092-640X</t>
  </si>
  <si>
    <t>0385-8146</t>
  </si>
  <si>
    <t>2588-994X</t>
  </si>
  <si>
    <t>1326-0200</t>
  </si>
  <si>
    <t>1036-7314</t>
  </si>
  <si>
    <t>1568-9972</t>
  </si>
  <si>
    <t>0005-1098</t>
  </si>
  <si>
    <t>0926-5805</t>
  </si>
  <si>
    <t>1566-0702</t>
  </si>
  <si>
    <t>3050-8622</t>
  </si>
  <si>
    <t>2053-7166</t>
  </si>
  <si>
    <t>1439-1791</t>
  </si>
  <si>
    <t>2667-1603</t>
  </si>
  <si>
    <t>0005-7894</t>
  </si>
  <si>
    <t>0005-7967</t>
  </si>
  <si>
    <t>0166-4328</t>
  </si>
  <si>
    <t>0376-6357</t>
  </si>
  <si>
    <t>1521-6896</t>
  </si>
  <si>
    <t>1521-690X</t>
  </si>
  <si>
    <t>1521-6918</t>
  </si>
  <si>
    <t>1521-6926</t>
  </si>
  <si>
    <t>1521-6934</t>
  </si>
  <si>
    <t>1521-6942</t>
  </si>
  <si>
    <t>3050-7405</t>
  </si>
  <si>
    <t>2214-5796</t>
  </si>
  <si>
    <t>2212-6198</t>
  </si>
  <si>
    <t>2452-199X</t>
  </si>
  <si>
    <t>1878-8181</t>
  </si>
  <si>
    <t>0006-291X</t>
  </si>
  <si>
    <t>1369-703X</t>
  </si>
  <si>
    <t>0006-2952</t>
  </si>
  <si>
    <t>0305-1978</t>
  </si>
  <si>
    <t>2405-5808</t>
  </si>
  <si>
    <t>0005-2728</t>
  </si>
  <si>
    <t>0005-2736</t>
  </si>
  <si>
    <t>1874-9399</t>
  </si>
  <si>
    <t>0304-4165</t>
  </si>
  <si>
    <t>1388-1981</t>
  </si>
  <si>
    <t>0925-4439</t>
  </si>
  <si>
    <t>0167-4889</t>
  </si>
  <si>
    <t>1570-9639</t>
  </si>
  <si>
    <t>0304-419X</t>
  </si>
  <si>
    <t>0300-9084</t>
  </si>
  <si>
    <t>0208-5216</t>
  </si>
  <si>
    <t>2693-1257</t>
  </si>
  <si>
    <t>1567-5394</t>
  </si>
  <si>
    <t>2590-2075</t>
  </si>
  <si>
    <t>2949-9291</t>
  </si>
  <si>
    <t>0006-3207</t>
  </si>
  <si>
    <t>1049-9644</t>
  </si>
  <si>
    <t>0006-3223</t>
  </si>
  <si>
    <t>2667-1743</t>
  </si>
  <si>
    <t>2451-9022</t>
  </si>
  <si>
    <t>0301-0511</t>
  </si>
  <si>
    <t>1045-1056</t>
  </si>
  <si>
    <t>2666-1446</t>
  </si>
  <si>
    <t>0961-9534</t>
  </si>
  <si>
    <t>0142-9612</t>
  </si>
  <si>
    <t>2772-9508</t>
  </si>
  <si>
    <t>2666-5344</t>
  </si>
  <si>
    <t>2950-435X</t>
  </si>
  <si>
    <t>2667-0992</t>
  </si>
  <si>
    <t>3050-5372</t>
  </si>
  <si>
    <t>2319-4170</t>
  </si>
  <si>
    <t>1746-8094</t>
  </si>
  <si>
    <t>2949-723X</t>
  </si>
  <si>
    <t>0753-3322</t>
  </si>
  <si>
    <t>2667-3797</t>
  </si>
  <si>
    <t>0968-0896</t>
  </si>
  <si>
    <t>0960-894X</t>
  </si>
  <si>
    <t>0045-2068</t>
  </si>
  <si>
    <t>0301-4622</t>
  </si>
  <si>
    <t>0006-3495</t>
  </si>
  <si>
    <t>2667-0747</t>
  </si>
  <si>
    <t>2405-8866</t>
  </si>
  <si>
    <t>0960-8524</t>
  </si>
  <si>
    <t>2589-014X</t>
  </si>
  <si>
    <t>2590-0536</t>
  </si>
  <si>
    <t>0956-5663</t>
  </si>
  <si>
    <t>2590-1370</t>
  </si>
  <si>
    <t>0303-2647</t>
  </si>
  <si>
    <t>1537-5110</t>
  </si>
  <si>
    <t>0734-9750</t>
  </si>
  <si>
    <t>2665-9069</t>
  </si>
  <si>
    <t>2215-017X</t>
  </si>
  <si>
    <t>2058-5349</t>
  </si>
  <si>
    <t>2772-6096</t>
  </si>
  <si>
    <t>2096-7209</t>
  </si>
  <si>
    <t>0006-4971</t>
  </si>
  <si>
    <t>2473-9529</t>
  </si>
  <si>
    <t>3050-5658</t>
  </si>
  <si>
    <t>3050-5976</t>
  </si>
  <si>
    <t>2950-3280</t>
  </si>
  <si>
    <t>3050-5984</t>
  </si>
  <si>
    <t>0268-960X</t>
  </si>
  <si>
    <t>1740-1445</t>
  </si>
  <si>
    <t>0366-3175</t>
  </si>
  <si>
    <t>8756-3282</t>
  </si>
  <si>
    <t>2352-1872</t>
  </si>
  <si>
    <t>2214-8450</t>
  </si>
  <si>
    <t>1538-4721</t>
  </si>
  <si>
    <t>0387-7604</t>
  </si>
  <si>
    <t>0278-2626</t>
  </si>
  <si>
    <t>2950-2217</t>
  </si>
  <si>
    <t>3050-5917</t>
  </si>
  <si>
    <t>0093-934X</t>
  </si>
  <si>
    <t>2772-5294</t>
  </si>
  <si>
    <t>2949-8341</t>
  </si>
  <si>
    <t>2666-4593</t>
  </si>
  <si>
    <t>2589-238X</t>
  </si>
  <si>
    <t>3050-6425</t>
  </si>
  <si>
    <t>2666-5220</t>
  </si>
  <si>
    <t>3050-6239</t>
  </si>
  <si>
    <t>2949-9216</t>
  </si>
  <si>
    <t>0006-8993</t>
  </si>
  <si>
    <t>0361-9230</t>
  </si>
  <si>
    <t>1935-861X</t>
  </si>
  <si>
    <t>0104-0014</t>
  </si>
  <si>
    <t>1808-8694</t>
  </si>
  <si>
    <t>1413-3555</t>
  </si>
  <si>
    <t>0007-0912</t>
  </si>
  <si>
    <t>0266-4356</t>
  </si>
  <si>
    <t>0360-1323</t>
  </si>
  <si>
    <t>0007-4497</t>
  </si>
  <si>
    <t>0007-4551</t>
  </si>
  <si>
    <t>0305-4179</t>
  </si>
  <si>
    <t>2468-9122</t>
  </si>
  <si>
    <t>0007-6813</t>
  </si>
  <si>
    <t>0007-9960</t>
  </si>
  <si>
    <t>0364-5916</t>
  </si>
  <si>
    <t>0828-282X</t>
  </si>
  <si>
    <t>1499-2671</t>
  </si>
  <si>
    <t>0008-4182</t>
  </si>
  <si>
    <t>1535-6108</t>
  </si>
  <si>
    <t>1877-7821</t>
  </si>
  <si>
    <t>2210-7762</t>
  </si>
  <si>
    <t>0304-3835</t>
  </si>
  <si>
    <t>2949-7132</t>
  </si>
  <si>
    <t>1278-3218</t>
  </si>
  <si>
    <t>2468-2942</t>
  </si>
  <si>
    <t>0305-7372</t>
  </si>
  <si>
    <t>2666-8939</t>
  </si>
  <si>
    <t>0144-8617</t>
  </si>
  <si>
    <t>0008-6215</t>
  </si>
  <si>
    <t>0008-6223</t>
  </si>
  <si>
    <t>2772-6568</t>
  </si>
  <si>
    <t>3050-6603</t>
  </si>
  <si>
    <t>2588-9133</t>
  </si>
  <si>
    <t>2667-0569</t>
  </si>
  <si>
    <t>2666-6936</t>
  </si>
  <si>
    <t>1054-8807</t>
  </si>
  <si>
    <t>1553-8389</t>
  </si>
  <si>
    <t>2950-2756</t>
  </si>
  <si>
    <t>2468-6441</t>
  </si>
  <si>
    <t>2214-9112</t>
  </si>
  <si>
    <t>2666-0164</t>
  </si>
  <si>
    <t>2214-5095</t>
  </si>
  <si>
    <t>2214-157X</t>
  </si>
  <si>
    <t>2213-624X</t>
  </si>
  <si>
    <t>0920-5861</t>
  </si>
  <si>
    <t>0341-8162</t>
  </si>
  <si>
    <t>0092-8674</t>
  </si>
  <si>
    <t>3050-5623</t>
  </si>
  <si>
    <t>0143-4160</t>
  </si>
  <si>
    <t>2451-9456</t>
  </si>
  <si>
    <t>3051-1151</t>
  </si>
  <si>
    <t>2949-9461</t>
  </si>
  <si>
    <t>2666-979X</t>
  </si>
  <si>
    <t>1931-3128</t>
  </si>
  <si>
    <t>3050-5380</t>
  </si>
  <si>
    <t>1550-4131</t>
  </si>
  <si>
    <t>2211-1247</t>
  </si>
  <si>
    <t>2666-3791</t>
  </si>
  <si>
    <t>2667-2375</t>
  </si>
  <si>
    <t>2666-3864</t>
  </si>
  <si>
    <t>2949-7906</t>
  </si>
  <si>
    <t>1934-5909</t>
  </si>
  <si>
    <t>1355-8145</t>
  </si>
  <si>
    <t>2405-4712</t>
  </si>
  <si>
    <t>2667-2901</t>
  </si>
  <si>
    <t>2352-345X</t>
  </si>
  <si>
    <t>0008-8749</t>
  </si>
  <si>
    <t>0898-6568</t>
  </si>
  <si>
    <t>2666-5492</t>
  </si>
  <si>
    <t>0958-9465</t>
  </si>
  <si>
    <t>0008-8846</t>
  </si>
  <si>
    <t>1303-0701</t>
  </si>
  <si>
    <t>0272-8842</t>
  </si>
  <si>
    <t>2666-2450</t>
  </si>
  <si>
    <t>2451-9294</t>
  </si>
  <si>
    <t>2667-1093</t>
  </si>
  <si>
    <t>2405-8300</t>
  </si>
  <si>
    <t>0255-2701</t>
  </si>
  <si>
    <t>1385-8947</t>
  </si>
  <si>
    <t>2666-8211</t>
  </si>
  <si>
    <t>3051-0031</t>
  </si>
  <si>
    <t>0263-8762</t>
  </si>
  <si>
    <t>0009-2509</t>
  </si>
  <si>
    <t>0009-2541</t>
  </si>
  <si>
    <t>0301-0104</t>
  </si>
  <si>
    <t>2667-0224</t>
  </si>
  <si>
    <t>0009-2614</t>
  </si>
  <si>
    <t>2667-3126</t>
  </si>
  <si>
    <t>0009-2797</t>
  </si>
  <si>
    <t>0009-3084</t>
  </si>
  <si>
    <t>2949-7469</t>
  </si>
  <si>
    <t>0169-7439</t>
  </si>
  <si>
    <t>0045-6535</t>
  </si>
  <si>
    <t>2772-5715</t>
  </si>
  <si>
    <t>0012-3692</t>
  </si>
  <si>
    <t>2949-7884</t>
  </si>
  <si>
    <t>2949-7892</t>
  </si>
  <si>
    <t>0145-2134</t>
  </si>
  <si>
    <t>2950-1938</t>
  </si>
  <si>
    <t>0190-7409</t>
  </si>
  <si>
    <t>2666-9331</t>
  </si>
  <si>
    <t>1043-951X</t>
  </si>
  <si>
    <t>2096-5192</t>
  </si>
  <si>
    <t>1755-3091</t>
  </si>
  <si>
    <t>2950-5593</t>
  </si>
  <si>
    <t>1674-6384</t>
  </si>
  <si>
    <t>1000-9361</t>
  </si>
  <si>
    <t>1872-2040</t>
  </si>
  <si>
    <t>1004-9541</t>
  </si>
  <si>
    <t>1000-9345</t>
  </si>
  <si>
    <t>0577-9073</t>
  </si>
  <si>
    <t>2096-6911</t>
  </si>
  <si>
    <t>0254-5861</t>
  </si>
  <si>
    <t>1008-1275</t>
  </si>
  <si>
    <t>2772-5588</t>
  </si>
  <si>
    <t>2709-4723</t>
  </si>
  <si>
    <t>2773-1677</t>
  </si>
  <si>
    <t>0007-8506</t>
  </si>
  <si>
    <t>1755-5817</t>
  </si>
  <si>
    <t>1134-0096</t>
  </si>
  <si>
    <t>0009-739X</t>
  </si>
  <si>
    <t>2173-5077</t>
  </si>
  <si>
    <t>0264-2751</t>
  </si>
  <si>
    <t>2590-2520</t>
  </si>
  <si>
    <t>2589-790X</t>
  </si>
  <si>
    <t>2772-8129</t>
  </si>
  <si>
    <t>2772-8013</t>
  </si>
  <si>
    <t>2666-7843</t>
  </si>
  <si>
    <t>2772-7823</t>
  </si>
  <si>
    <t>2772-7831</t>
  </si>
  <si>
    <t>2666-7908</t>
  </si>
  <si>
    <t>2666-7894</t>
  </si>
  <si>
    <t>2772-3909</t>
  </si>
  <si>
    <t>3050-998X</t>
  </si>
  <si>
    <t>2772-3976</t>
  </si>
  <si>
    <t>2666-7916</t>
  </si>
  <si>
    <t>2772-9125</t>
  </si>
  <si>
    <t>2950-2632</t>
  </si>
  <si>
    <t>2666-9005</t>
  </si>
  <si>
    <t>2212-0963</t>
  </si>
  <si>
    <t>2405-8807</t>
  </si>
  <si>
    <t>2950-4090</t>
  </si>
  <si>
    <t>0009-8981</t>
  </si>
  <si>
    <t>2405-6308</t>
  </si>
  <si>
    <t>0009-9120</t>
  </si>
  <si>
    <t>0268-0033</t>
  </si>
  <si>
    <t>1526-8209</t>
  </si>
  <si>
    <t>1533-0028</t>
  </si>
  <si>
    <t>2588-9141</t>
  </si>
  <si>
    <t>2213-3984</t>
  </si>
  <si>
    <t>1542-3565</t>
  </si>
  <si>
    <t>1558-7673</t>
  </si>
  <si>
    <t>0899-7071</t>
  </si>
  <si>
    <t>1521-6616</t>
  </si>
  <si>
    <t>2772-6134</t>
  </si>
  <si>
    <t>2590-1702</t>
  </si>
  <si>
    <t>1525-7304</t>
  </si>
  <si>
    <t>1470-2118</t>
  </si>
  <si>
    <t>1198-743X</t>
  </si>
  <si>
    <t>0196-4399</t>
  </si>
  <si>
    <t>0303-8467</t>
  </si>
  <si>
    <t>1388-2457</t>
  </si>
  <si>
    <t>2467-981X</t>
  </si>
  <si>
    <t>0261-5614</t>
  </si>
  <si>
    <t>2405-4577</t>
  </si>
  <si>
    <t>2667-2685</t>
  </si>
  <si>
    <t>0936-6555</t>
  </si>
  <si>
    <t>2590-1125</t>
  </si>
  <si>
    <t>0272-7358</t>
  </si>
  <si>
    <t>0009-9260</t>
  </si>
  <si>
    <t>1876-1399</t>
  </si>
  <si>
    <t>2666-0547</t>
  </si>
  <si>
    <t>2773-160X</t>
  </si>
  <si>
    <t>0149-2918</t>
  </si>
  <si>
    <t>2097-3829</t>
  </si>
  <si>
    <t>1807-5932</t>
  </si>
  <si>
    <t>2210-7401</t>
  </si>
  <si>
    <t>0738-081X</t>
  </si>
  <si>
    <t>0214-9168</t>
  </si>
  <si>
    <t>2529-9123</t>
  </si>
  <si>
    <t>0210-573X</t>
  </si>
  <si>
    <t>2950-5909</t>
  </si>
  <si>
    <t>0378-3839</t>
  </si>
  <si>
    <t>0010-0277</t>
  </si>
  <si>
    <t>1077-7229</t>
  </si>
  <si>
    <t>0885-2014</t>
  </si>
  <si>
    <t>0010-0285</t>
  </si>
  <si>
    <t>2667-2413</t>
  </si>
  <si>
    <t>1389-0417</t>
  </si>
  <si>
    <t>0165-232X</t>
  </si>
  <si>
    <t>1322-7696</t>
  </si>
  <si>
    <t>2215-0382</t>
  </si>
  <si>
    <t>0927-7757</t>
  </si>
  <si>
    <t>0927-7765</t>
  </si>
  <si>
    <t>2949-7590</t>
  </si>
  <si>
    <t>0010-2180</t>
  </si>
  <si>
    <t>1007-5704</t>
  </si>
  <si>
    <t>2772-4247</t>
  </si>
  <si>
    <t>1095-6433</t>
  </si>
  <si>
    <t>1096-4959</t>
  </si>
  <si>
    <t>1532-0456</t>
  </si>
  <si>
    <t>1744-117X</t>
  </si>
  <si>
    <t>2950-3116</t>
  </si>
  <si>
    <t>1744-3881</t>
  </si>
  <si>
    <t>0965-2299</t>
  </si>
  <si>
    <t>0263-8223</t>
  </si>
  <si>
    <t>2452-2139</t>
  </si>
  <si>
    <t>1359-835X</t>
  </si>
  <si>
    <t>1359-8368</t>
  </si>
  <si>
    <t>2666-6820</t>
  </si>
  <si>
    <t>0266-3538</t>
  </si>
  <si>
    <t>0010-440X</t>
  </si>
  <si>
    <t>2666-4976</t>
  </si>
  <si>
    <t>2001-0370</t>
  </si>
  <si>
    <t>2950-3639</t>
  </si>
  <si>
    <t>2210-271X</t>
  </si>
  <si>
    <t>1476-9271</t>
  </si>
  <si>
    <t>2352-2143</t>
  </si>
  <si>
    <t>0925-7721</t>
  </si>
  <si>
    <t>0927-0256</t>
  </si>
  <si>
    <t>2950-4635</t>
  </si>
  <si>
    <t>2196-4386</t>
  </si>
  <si>
    <t>0167-9473</t>
  </si>
  <si>
    <t>2468-1113</t>
  </si>
  <si>
    <t>0167-8396</t>
  </si>
  <si>
    <t>0140-3664</t>
  </si>
  <si>
    <t>0169-2607</t>
  </si>
  <si>
    <t>2666-9900</t>
  </si>
  <si>
    <t>0045-7825</t>
  </si>
  <si>
    <t>1389-1286</t>
  </si>
  <si>
    <t>0010-4655</t>
  </si>
  <si>
    <t>1574-0137</t>
  </si>
  <si>
    <t>0885-2308</t>
  </si>
  <si>
    <t>0920-5489</t>
  </si>
  <si>
    <t>1077-3142</t>
  </si>
  <si>
    <t>0010-4485</t>
  </si>
  <si>
    <t>0895-6111</t>
  </si>
  <si>
    <t>0098-1354</t>
  </si>
  <si>
    <t>0360-1315</t>
  </si>
  <si>
    <t>2949-6780</t>
  </si>
  <si>
    <t>0045-7906</t>
  </si>
  <si>
    <t>0045-7930</t>
  </si>
  <si>
    <t>0098-3004</t>
  </si>
  <si>
    <t>0097-8493</t>
  </si>
  <si>
    <t>0360-8352</t>
  </si>
  <si>
    <t>0898-1221</t>
  </si>
  <si>
    <t>0305-0548</t>
  </si>
  <si>
    <t>0167-4048</t>
  </si>
  <si>
    <t>0045-7949</t>
  </si>
  <si>
    <t>8755-4615</t>
  </si>
  <si>
    <t>2666-5573</t>
  </si>
  <si>
    <t>2666-920X</t>
  </si>
  <si>
    <t>0168-1699</t>
  </si>
  <si>
    <t>0266-352X</t>
  </si>
  <si>
    <t>0010-4825</t>
  </si>
  <si>
    <t>0747-5632</t>
  </si>
  <si>
    <t>2451-9588</t>
  </si>
  <si>
    <t>2949-8821</t>
  </si>
  <si>
    <t>0166-3615</t>
  </si>
  <si>
    <t>1053-8100</t>
  </si>
  <si>
    <t>0950-0618</t>
  </si>
  <si>
    <t>1367-0484</t>
  </si>
  <si>
    <t>1551-7144</t>
  </si>
  <si>
    <t>2451-8654</t>
  </si>
  <si>
    <t>0361-476X</t>
  </si>
  <si>
    <t>2772-9737</t>
  </si>
  <si>
    <t>2772-9745</t>
  </si>
  <si>
    <t>0278-4343</t>
  </si>
  <si>
    <t>0010-7824</t>
  </si>
  <si>
    <t>2590-1516</t>
  </si>
  <si>
    <t>0967-0661</t>
  </si>
  <si>
    <t>2950-4864</t>
  </si>
  <si>
    <t>0010-8545</t>
  </si>
  <si>
    <t>2667-2669</t>
  </si>
  <si>
    <t>0010-938X</t>
  </si>
  <si>
    <t>0010-9452</t>
  </si>
  <si>
    <t>0195-6671</t>
  </si>
  <si>
    <t>1441-2772</t>
  </si>
  <si>
    <t>1045-2354</t>
  </si>
  <si>
    <t>1040-8428</t>
  </si>
  <si>
    <t>2773-126X</t>
  </si>
  <si>
    <t>2772-8994</t>
  </si>
  <si>
    <t>0261-2194</t>
  </si>
  <si>
    <t>0011-2240</t>
  </si>
  <si>
    <t>0011-2275</t>
  </si>
  <si>
    <t>1567-1739</t>
  </si>
  <si>
    <t>0960-9822</t>
  </si>
  <si>
    <t>2475-2991</t>
  </si>
  <si>
    <t>2352-1546</t>
  </si>
  <si>
    <t>2468-4511</t>
  </si>
  <si>
    <t>0958-1669</t>
  </si>
  <si>
    <t>0955-0674</t>
  </si>
  <si>
    <t>1367-5931</t>
  </si>
  <si>
    <t>2211-3398</t>
  </si>
  <si>
    <t>1359-0294</t>
  </si>
  <si>
    <t>2451-9103</t>
  </si>
  <si>
    <t>2451-9650</t>
  </si>
  <si>
    <t>2468-5844</t>
  </si>
  <si>
    <t>1877-3435</t>
  </si>
  <si>
    <t>2214-7993</t>
  </si>
  <si>
    <t>0959-437X</t>
  </si>
  <si>
    <t>2452-2236</t>
  </si>
  <si>
    <t>0952-7915</t>
  </si>
  <si>
    <t>2214-5745</t>
  </si>
  <si>
    <t>1369-5274</t>
  </si>
  <si>
    <t>0959-4388</t>
  </si>
  <si>
    <t>1471-4892</t>
  </si>
  <si>
    <t>2468-8673</t>
  </si>
  <si>
    <t>1369-5266</t>
  </si>
  <si>
    <t>2352-250X</t>
  </si>
  <si>
    <t>1359-0286</t>
  </si>
  <si>
    <t>0959-440X</t>
  </si>
  <si>
    <t>2452-3100</t>
  </si>
  <si>
    <t>2468-2020</t>
  </si>
  <si>
    <t>1879-6257</t>
  </si>
  <si>
    <t>1573-4129</t>
  </si>
  <si>
    <t>2214-6628</t>
  </si>
  <si>
    <t>0147-0272</t>
  </si>
  <si>
    <t>2666-6219</t>
  </si>
  <si>
    <t>0146-2806</t>
  </si>
  <si>
    <t>0363-0188</t>
  </si>
  <si>
    <t>1538-5442</t>
  </si>
  <si>
    <t>0011-3840</t>
  </si>
  <si>
    <t>1874-4710</t>
  </si>
  <si>
    <t>2666-5182</t>
  </si>
  <si>
    <t>2590-2628</t>
  </si>
  <si>
    <t>2666-2469</t>
  </si>
  <si>
    <t>2666-6227</t>
  </si>
  <si>
    <t>2666-0490</t>
  </si>
  <si>
    <t>2665-9271</t>
  </si>
  <si>
    <t>2666-0865</t>
  </si>
  <si>
    <t>2590-2555</t>
  </si>
  <si>
    <t>2666-5158</t>
  </si>
  <si>
    <t>2666-5174</t>
  </si>
  <si>
    <t>2665-945X</t>
  </si>
  <si>
    <t>2667-114X</t>
  </si>
  <si>
    <t>2590-2571</t>
  </si>
  <si>
    <t>2665-9441</t>
  </si>
  <si>
    <t>2665-928X</t>
  </si>
  <si>
    <t>2666-027X</t>
  </si>
  <si>
    <t>2452-3186</t>
  </si>
  <si>
    <t>0011-393X</t>
  </si>
  <si>
    <t>1877-1297</t>
  </si>
  <si>
    <t>2772-9184</t>
  </si>
  <si>
    <t>3050-7448</t>
  </si>
  <si>
    <t>1043-4666</t>
  </si>
  <si>
    <t>1359-6101</t>
  </si>
  <si>
    <t>2590-1532</t>
  </si>
  <si>
    <t>1465-3249</t>
  </si>
  <si>
    <t>0169-023X</t>
  </si>
  <si>
    <t>2543-9251</t>
  </si>
  <si>
    <t>2352-3409</t>
  </si>
  <si>
    <t>2694-6106</t>
  </si>
  <si>
    <t>2666-7649</t>
  </si>
  <si>
    <t>2949-8813</t>
  </si>
  <si>
    <t>2772-6622</t>
  </si>
  <si>
    <t>0167-9236</t>
  </si>
  <si>
    <t>2949-9240</t>
  </si>
  <si>
    <t>2949-6691</t>
  </si>
  <si>
    <t>2949-9305</t>
  </si>
  <si>
    <t>0967-0637</t>
  </si>
  <si>
    <t>0967-0645</t>
  </si>
  <si>
    <t>2214-9147</t>
  </si>
  <si>
    <t>1125-7865</t>
  </si>
  <si>
    <t>0109-5641</t>
  </si>
  <si>
    <t>2772-5596</t>
  </si>
  <si>
    <t>0011-9164</t>
  </si>
  <si>
    <t>1944-3986</t>
  </si>
  <si>
    <t>3050-7413</t>
  </si>
  <si>
    <t>2950-2624</t>
  </si>
  <si>
    <t>0142-694X</t>
  </si>
  <si>
    <t>2950-5240</t>
  </si>
  <si>
    <t>2352-7285</t>
  </si>
  <si>
    <t>0145-305X</t>
  </si>
  <si>
    <t>0012-1606</t>
  </si>
  <si>
    <t>1534-5807</t>
  </si>
  <si>
    <t>1878-9293</t>
  </si>
  <si>
    <t>0273-2297</t>
  </si>
  <si>
    <t>2666-1659</t>
  </si>
  <si>
    <t>2666-9986</t>
  </si>
  <si>
    <t>1871-4021</t>
  </si>
  <si>
    <t>1262-3636</t>
  </si>
  <si>
    <t>2666-9706</t>
  </si>
  <si>
    <t>0168-8227</t>
  </si>
  <si>
    <t>2211-5684</t>
  </si>
  <si>
    <t>0732-8893</t>
  </si>
  <si>
    <t>2772-6533</t>
  </si>
  <si>
    <t>0925-9635</t>
  </si>
  <si>
    <t>0926-2245</t>
  </si>
  <si>
    <t>0301-4681</t>
  </si>
  <si>
    <t>1590-8658</t>
  </si>
  <si>
    <t>2212-0548</t>
  </si>
  <si>
    <t>2666-9544</t>
  </si>
  <si>
    <t>2772-5081</t>
  </si>
  <si>
    <t>2589-3777</t>
  </si>
  <si>
    <t>2352-8648</t>
  </si>
  <si>
    <t>2950-6433</t>
  </si>
  <si>
    <t>2950-550X</t>
  </si>
  <si>
    <t>2666-3783</t>
  </si>
  <si>
    <t>1051-2004</t>
  </si>
  <si>
    <t>1936-6574</t>
  </si>
  <si>
    <t>0166-218X</t>
  </si>
  <si>
    <t>0012-365X</t>
  </si>
  <si>
    <t>1572-5286</t>
  </si>
  <si>
    <t>3050-9998</t>
  </si>
  <si>
    <t>0011-5029</t>
  </si>
  <si>
    <t>0141-9382</t>
  </si>
  <si>
    <t>1568-7864</t>
  </si>
  <si>
    <t>0739-7240</t>
  </si>
  <si>
    <t>1624-5687</t>
  </si>
  <si>
    <t>0376-8716</t>
  </si>
  <si>
    <t>2772-7246</t>
  </si>
  <si>
    <t>1359-6446</t>
  </si>
  <si>
    <t>0090-9556</t>
  </si>
  <si>
    <t>1347-4367</t>
  </si>
  <si>
    <t>1368-7646</t>
  </si>
  <si>
    <t>0143-7208</t>
  </si>
  <si>
    <t>0377-0265</t>
  </si>
  <si>
    <t>0885-2006</t>
  </si>
  <si>
    <t>0378-3782</t>
  </si>
  <si>
    <t>0012-821X</t>
  </si>
  <si>
    <t>2950-4767</t>
  </si>
  <si>
    <t>2950-1547</t>
  </si>
  <si>
    <t>2950-4759</t>
  </si>
  <si>
    <t>2589-8116</t>
  </si>
  <si>
    <t>0012-8252</t>
  </si>
  <si>
    <t>2772-4670</t>
  </si>
  <si>
    <t>1674-4519</t>
  </si>
  <si>
    <t>1471-0153</t>
  </si>
  <si>
    <t>2352-3964</t>
  </si>
  <si>
    <t>2589-5370</t>
  </si>
  <si>
    <t>2772-9850</t>
  </si>
  <si>
    <t>1642-3593</t>
  </si>
  <si>
    <t>1476-945X</t>
  </si>
  <si>
    <t>0921-8009</t>
  </si>
  <si>
    <t>0925-8574</t>
  </si>
  <si>
    <t>2950-5097</t>
  </si>
  <si>
    <t>2405-9854</t>
  </si>
  <si>
    <t>1470-160X</t>
  </si>
  <si>
    <t>1574-9541</t>
  </si>
  <si>
    <t>0304-3800</t>
  </si>
  <si>
    <t>2452-3062</t>
  </si>
  <si>
    <t>1517-7580</t>
  </si>
  <si>
    <t>0313-5926</t>
  </si>
  <si>
    <t>0264-9993</t>
  </si>
  <si>
    <t>0939-3625</t>
  </si>
  <si>
    <t>1570-677X</t>
  </si>
  <si>
    <t>0165-1765</t>
  </si>
  <si>
    <t>0272-7757</t>
  </si>
  <si>
    <t>2212-0122</t>
  </si>
  <si>
    <t>2212-0416</t>
  </si>
  <si>
    <t>0147-6513</t>
  </si>
  <si>
    <t>1575-1813</t>
  </si>
  <si>
    <t>1749-7728</t>
  </si>
  <si>
    <t>1747-938X</t>
  </si>
  <si>
    <t>2667-0410</t>
  </si>
  <si>
    <t>1110-8665</t>
  </si>
  <si>
    <t>1687-4285</t>
  </si>
  <si>
    <t>1110-0621</t>
  </si>
  <si>
    <t>2772-610X</t>
  </si>
  <si>
    <t>2772-6118</t>
  </si>
  <si>
    <t>2666-688X</t>
  </si>
  <si>
    <t>0261-3794</t>
  </si>
  <si>
    <t>0378-7796</t>
  </si>
  <si>
    <t>1388-2481</t>
  </si>
  <si>
    <t>0013-4686</t>
  </si>
  <si>
    <t>1567-4223</t>
  </si>
  <si>
    <t>0717-3458</t>
  </si>
  <si>
    <t>2772-8137</t>
  </si>
  <si>
    <t>2405-6650</t>
  </si>
  <si>
    <t>1566-0141</t>
  </si>
  <si>
    <t>0160-9327</t>
  </si>
  <si>
    <t>2666-3961</t>
  </si>
  <si>
    <t>1530-891X</t>
  </si>
  <si>
    <t>2666-6472</t>
  </si>
  <si>
    <t>0360-5442</t>
  </si>
  <si>
    <t>3050-7456</t>
  </si>
  <si>
    <t>2950-4872</t>
  </si>
  <si>
    <t>2666-5468</t>
  </si>
  <si>
    <t>0378-7788</t>
  </si>
  <si>
    <t>2666-1233</t>
  </si>
  <si>
    <t>2666-2787</t>
  </si>
  <si>
    <t>0196-8904</t>
  </si>
  <si>
    <t>2590-1745</t>
  </si>
  <si>
    <t>0140-9883</t>
  </si>
  <si>
    <t>2950-1563</t>
  </si>
  <si>
    <t>0973-0826</t>
  </si>
  <si>
    <t>2666-7592</t>
  </si>
  <si>
    <t>2772-4271</t>
  </si>
  <si>
    <t>0301-4215</t>
  </si>
  <si>
    <t>2352-4847</t>
  </si>
  <si>
    <t>2214-6296</t>
  </si>
  <si>
    <t>2772-9702</t>
  </si>
  <si>
    <t>2405-8297</t>
  </si>
  <si>
    <t>2211-467X</t>
  </si>
  <si>
    <t>2589-7780</t>
  </si>
  <si>
    <t>2405-6502</t>
  </si>
  <si>
    <t>0213-005X</t>
  </si>
  <si>
    <t>2529-993X</t>
  </si>
  <si>
    <t>1130-8621</t>
  </si>
  <si>
    <t>2445-1479</t>
  </si>
  <si>
    <t>1130-2399</t>
  </si>
  <si>
    <t>2529-9840</t>
  </si>
  <si>
    <t>2666-1381</t>
  </si>
  <si>
    <t>2095-8099</t>
  </si>
  <si>
    <t>0955-7997</t>
  </si>
  <si>
    <t>0952-1976</t>
  </si>
  <si>
    <t>1350-6307</t>
  </si>
  <si>
    <t>0013-7944</t>
  </si>
  <si>
    <t>0013-7952</t>
  </si>
  <si>
    <t>2667-3703</t>
  </si>
  <si>
    <t>0141-0296</t>
  </si>
  <si>
    <t>0889-4906</t>
  </si>
  <si>
    <t>2950-4899</t>
  </si>
  <si>
    <t>1875-9521</t>
  </si>
  <si>
    <t>0160-4120</t>
  </si>
  <si>
    <t>2666-7657</t>
  </si>
  <si>
    <t>0098-8472</t>
  </si>
  <si>
    <t>2665-9727</t>
  </si>
  <si>
    <t>2667-0100</t>
  </si>
  <si>
    <t>2590-1826</t>
  </si>
  <si>
    <t>2211-4645</t>
  </si>
  <si>
    <t>2773-0581</t>
  </si>
  <si>
    <t>0195-9255</t>
  </si>
  <si>
    <t>2210-4224</t>
  </si>
  <si>
    <t>1364-8152</t>
  </si>
  <si>
    <t>3050-9890</t>
  </si>
  <si>
    <t>0269-7491</t>
  </si>
  <si>
    <t>2950-3051</t>
  </si>
  <si>
    <t>0013-9351</t>
  </si>
  <si>
    <t>1462-9011</t>
  </si>
  <si>
    <t>2666-4984</t>
  </si>
  <si>
    <t>2949-8643</t>
  </si>
  <si>
    <t>2352-1864</t>
  </si>
  <si>
    <t>1382-6689</t>
  </si>
  <si>
    <t>0141-0229</t>
  </si>
  <si>
    <t>1755-4365</t>
  </si>
  <si>
    <t>1525-5050</t>
  </si>
  <si>
    <t>2589-9864</t>
  </si>
  <si>
    <t>0920-1211</t>
  </si>
  <si>
    <t>3050-8401</t>
  </si>
  <si>
    <t>2667-1417</t>
  </si>
  <si>
    <t>3050-9955</t>
  </si>
  <si>
    <t>2949-8198</t>
  </si>
  <si>
    <t>2059-7029</t>
  </si>
  <si>
    <t>3050-4619</t>
  </si>
  <si>
    <t>2949-8201</t>
  </si>
  <si>
    <t>2590-1168</t>
  </si>
  <si>
    <t>3050-7081</t>
  </si>
  <si>
    <t>2212-9685</t>
  </si>
  <si>
    <t>2192-4406</t>
  </si>
  <si>
    <t>2193-9438</t>
  </si>
  <si>
    <t>2192-4376</t>
  </si>
  <si>
    <t>0014-2921</t>
  </si>
  <si>
    <t>1161-0301</t>
  </si>
  <si>
    <t>0959-8049</t>
  </si>
  <si>
    <t>1359-6349</t>
  </si>
  <si>
    <t>0171-9335</t>
  </si>
  <si>
    <t>0195-6698</t>
  </si>
  <si>
    <t>0947-3580</t>
  </si>
  <si>
    <t>1876-3820</t>
  </si>
  <si>
    <t>0953-6205</t>
  </si>
  <si>
    <t>0997-7538</t>
  </si>
  <si>
    <t>0997-7546</t>
  </si>
  <si>
    <t>1769-7212</t>
  </si>
  <si>
    <t>0223-5234</t>
  </si>
  <si>
    <t>2772-4174</t>
  </si>
  <si>
    <t>0301-2115</t>
  </si>
  <si>
    <t>2590-1613</t>
  </si>
  <si>
    <t>1462-3889</t>
  </si>
  <si>
    <t>0377-2217</t>
  </si>
  <si>
    <t>1090-3798</t>
  </si>
  <si>
    <t>0928-0987</t>
  </si>
  <si>
    <t>0939-6411</t>
  </si>
  <si>
    <t>0014-2999</t>
  </si>
  <si>
    <t>0176-2680</t>
  </si>
  <si>
    <t>0932-4739</t>
  </si>
  <si>
    <t>0720-048X</t>
  </si>
  <si>
    <t>3050-5771</t>
  </si>
  <si>
    <t>2352-0477</t>
  </si>
  <si>
    <t>1164-5563</t>
  </si>
  <si>
    <t>0748-7983</t>
  </si>
  <si>
    <t>2468-7499</t>
  </si>
  <si>
    <t>1078-5884</t>
  </si>
  <si>
    <t>0263-2373</t>
  </si>
  <si>
    <t>0924-977X</t>
  </si>
  <si>
    <t>0014-3057</t>
  </si>
  <si>
    <t>2444-8834</t>
  </si>
  <si>
    <t>1162-9088</t>
  </si>
  <si>
    <t>2950-2985</t>
  </si>
  <si>
    <t>0302-2838</t>
  </si>
  <si>
    <t>2405-4569</t>
  </si>
  <si>
    <t>2588-9311</t>
  </si>
  <si>
    <t>2666-1683</t>
  </si>
  <si>
    <t>0149-7189</t>
  </si>
  <si>
    <t>1090-5138</t>
  </si>
  <si>
    <t>2950-1172</t>
  </si>
  <si>
    <t>2666-657X</t>
  </si>
  <si>
    <t>0014-4800</t>
  </si>
  <si>
    <t>0014-4827</t>
  </si>
  <si>
    <t>0014-4835</t>
  </si>
  <si>
    <t>0531-5565</t>
  </si>
  <si>
    <t>0301-472X</t>
  </si>
  <si>
    <t>0014-4886</t>
  </si>
  <si>
    <t>0014-4894</t>
  </si>
  <si>
    <t>0894-1777</t>
  </si>
  <si>
    <t>0957-4174</t>
  </si>
  <si>
    <t>0014-4983</t>
  </si>
  <si>
    <t>2667-2766</t>
  </si>
  <si>
    <t>1550-8307</t>
  </si>
  <si>
    <t>0723-0869</t>
  </si>
  <si>
    <t>2773-0417</t>
  </si>
  <si>
    <t>3050-628X</t>
  </si>
  <si>
    <t>2352-4316</t>
  </si>
  <si>
    <t>2666-3341</t>
  </si>
  <si>
    <t>2666-5719</t>
  </si>
  <si>
    <t>2666-335X</t>
  </si>
  <si>
    <t>2949-9119</t>
  </si>
  <si>
    <t>3051-231X</t>
  </si>
  <si>
    <t>0015-0282</t>
  </si>
  <si>
    <t>0378-4290</t>
  </si>
  <si>
    <t>1544-6123</t>
  </si>
  <si>
    <t>3050-7006</t>
  </si>
  <si>
    <t>0168-874X</t>
  </si>
  <si>
    <t>1071-5797</t>
  </si>
  <si>
    <t>0379-7112</t>
  </si>
  <si>
    <t>2667-1344</t>
  </si>
  <si>
    <t>2949-8406</t>
  </si>
  <si>
    <t>1050-4648</t>
  </si>
  <si>
    <t>0165-7836</t>
  </si>
  <si>
    <t>0211-5638</t>
  </si>
  <si>
    <t>0367-326X</t>
  </si>
  <si>
    <t>2452-2627</t>
  </si>
  <si>
    <t>0367-2530</t>
  </si>
  <si>
    <t>0955-5986</t>
  </si>
  <si>
    <t>0378-3812</t>
  </si>
  <si>
    <t>0960-3085</t>
  </si>
  <si>
    <t>0278-6915</t>
  </si>
  <si>
    <t>2949-8244</t>
  </si>
  <si>
    <t>2405-6766</t>
  </si>
  <si>
    <t>2212-4292</t>
  </si>
  <si>
    <t>0308-8146</t>
  </si>
  <si>
    <t>2772-753X</t>
  </si>
  <si>
    <t>2666-5662</t>
  </si>
  <si>
    <t>2590-1575</t>
  </si>
  <si>
    <t>0956-7135</t>
  </si>
  <si>
    <t>0268-005X</t>
  </si>
  <si>
    <t>2667-0259</t>
  </si>
  <si>
    <t>0740-0020</t>
  </si>
  <si>
    <t>3050-8436</t>
  </si>
  <si>
    <t>2214-2894</t>
  </si>
  <si>
    <t>2950-0699</t>
  </si>
  <si>
    <t>0306-9192</t>
  </si>
  <si>
    <t>0950-3293</t>
  </si>
  <si>
    <t>0963-9969</t>
  </si>
  <si>
    <t>2213-4530</t>
  </si>
  <si>
    <t>2213-3291</t>
  </si>
  <si>
    <t>2352-2496</t>
  </si>
  <si>
    <t>3050-7111</t>
  </si>
  <si>
    <t>1268-7731</t>
  </si>
  <si>
    <t>2666-3597</t>
  </si>
  <si>
    <t>2468-1709</t>
  </si>
  <si>
    <t>2666-2256</t>
  </si>
  <si>
    <t>0379-0738</t>
  </si>
  <si>
    <t>2666-9374</t>
  </si>
  <si>
    <t>2666-2817</t>
  </si>
  <si>
    <t>1872-4973</t>
  </si>
  <si>
    <t>1875-1768</t>
  </si>
  <si>
    <t>2666-3538</t>
  </si>
  <si>
    <t>2665-9107</t>
  </si>
  <si>
    <t>2589-871X</t>
  </si>
  <si>
    <t>2471-1411</t>
  </si>
  <si>
    <t>0378-1127</t>
  </si>
  <si>
    <t>2197-5620</t>
  </si>
  <si>
    <t>1389-9341</t>
  </si>
  <si>
    <t>2773-1863</t>
  </si>
  <si>
    <t>0891-5849</t>
  </si>
  <si>
    <t>0091-3022</t>
  </si>
  <si>
    <t>2095-2635</t>
  </si>
  <si>
    <t>0016-2361</t>
  </si>
  <si>
    <t>2666-0520</t>
  </si>
  <si>
    <t>0378-3820</t>
  </si>
  <si>
    <t>2772-8285</t>
  </si>
  <si>
    <t>2667-3258</t>
  </si>
  <si>
    <t>1878-6146</t>
  </si>
  <si>
    <t>1749-4613</t>
  </si>
  <si>
    <t>1754-5048</t>
  </si>
  <si>
    <t>1087-1845</t>
  </si>
  <si>
    <t>2773-2150</t>
  </si>
  <si>
    <t>0920-3796</t>
  </si>
  <si>
    <t>2950-2640</t>
  </si>
  <si>
    <t>2666-8335</t>
  </si>
  <si>
    <t>0167-739X</t>
  </si>
  <si>
    <t>2514-6645</t>
  </si>
  <si>
    <t>0016-3287</t>
  </si>
  <si>
    <t>0165-0114</t>
  </si>
  <si>
    <t>1619-9987</t>
  </si>
  <si>
    <t>0213-9111</t>
  </si>
  <si>
    <t>0966-6362</t>
  </si>
  <si>
    <t>0899-8256</t>
  </si>
  <si>
    <t>2949-9089</t>
  </si>
  <si>
    <t>2772-5723</t>
  </si>
  <si>
    <t>0016-5085</t>
  </si>
  <si>
    <t>2949-7523</t>
  </si>
  <si>
    <t>0210-5705</t>
  </si>
  <si>
    <t>2444-3824</t>
  </si>
  <si>
    <t>0016-5107</t>
  </si>
  <si>
    <t>0378-1119</t>
  </si>
  <si>
    <t>2666-3880</t>
  </si>
  <si>
    <t>1567-133X</t>
  </si>
  <si>
    <t>2452-0144</t>
  </si>
  <si>
    <t>0016-6480</t>
  </si>
  <si>
    <t>0163-8343</t>
  </si>
  <si>
    <t>2352-3042</t>
  </si>
  <si>
    <t>1098-3600</t>
  </si>
  <si>
    <t>2949-7744</t>
  </si>
  <si>
    <t>0888-7543</t>
  </si>
  <si>
    <t>0016-6995</t>
  </si>
  <si>
    <t>0009-2819</t>
  </si>
  <si>
    <t>0016-7037</t>
  </si>
  <si>
    <t>3050-483X</t>
  </si>
  <si>
    <t>0016-7061</t>
  </si>
  <si>
    <t>2352-0094</t>
  </si>
  <si>
    <t>1674-9847</t>
  </si>
  <si>
    <t>2949-8910</t>
  </si>
  <si>
    <t>0016-7185</t>
  </si>
  <si>
    <t>2666-6839</t>
  </si>
  <si>
    <t>2949-7418</t>
  </si>
  <si>
    <t>1195-1036</t>
  </si>
  <si>
    <t>2352-3808</t>
  </si>
  <si>
    <t>0169-555X</t>
  </si>
  <si>
    <t>3050-7138</t>
  </si>
  <si>
    <t>1674-9871</t>
  </si>
  <si>
    <t>2772-8838</t>
  </si>
  <si>
    <t>0266-1144</t>
  </si>
  <si>
    <t>0375-6505</t>
  </si>
  <si>
    <t>0197-4572</t>
  </si>
  <si>
    <t>2666-5425</t>
  </si>
  <si>
    <t>2950-4074</t>
  </si>
  <si>
    <t>2950-4740</t>
  </si>
  <si>
    <t>0921-8181</t>
  </si>
  <si>
    <t>3050-502X</t>
  </si>
  <si>
    <t>2351-9894</t>
  </si>
  <si>
    <t>3050-8037</t>
  </si>
  <si>
    <t>2096-5117</t>
  </si>
  <si>
    <t>0959-3780</t>
  </si>
  <si>
    <t>2950-1385</t>
  </si>
  <si>
    <t>2590-1133</t>
  </si>
  <si>
    <t>1044-0283</t>
  </si>
  <si>
    <t>2211-9124</t>
  </si>
  <si>
    <t>2414-6447</t>
  </si>
  <si>
    <t>2699-9404</t>
  </si>
  <si>
    <t>3051-2484</t>
  </si>
  <si>
    <t>2667-0097</t>
  </si>
  <si>
    <t>2589-7918</t>
  </si>
  <si>
    <t>2666-285X</t>
  </si>
  <si>
    <t>3050-6085</t>
  </si>
  <si>
    <t>1342-937X</t>
  </si>
  <si>
    <t>0740-624X</t>
  </si>
  <si>
    <t>2590-2598</t>
  </si>
  <si>
    <t>1524-0703</t>
  </si>
  <si>
    <t>2772-5774</t>
  </si>
  <si>
    <t>2950-5550</t>
  </si>
  <si>
    <t>2950-1555</t>
  </si>
  <si>
    <t>2666-9528</t>
  </si>
  <si>
    <t>2468-0257</t>
  </si>
  <si>
    <t>2773-1537</t>
  </si>
  <si>
    <t>2949-7205</t>
  </si>
  <si>
    <t>2666-5549</t>
  </si>
  <si>
    <t>2949-7361</t>
  </si>
  <si>
    <t>2352-801X</t>
  </si>
  <si>
    <t>1096-6374</t>
  </si>
  <si>
    <t>3051-1720</t>
  </si>
  <si>
    <t>0090-8258</t>
  </si>
  <si>
    <t>2352-5789</t>
  </si>
  <si>
    <t>2667-1646</t>
  </si>
  <si>
    <t>2468-7189</t>
  </si>
  <si>
    <t>0197-3975</t>
  </si>
  <si>
    <t>2468-1229</t>
  </si>
  <si>
    <t>2468-0672</t>
  </si>
  <si>
    <t>1568-9883</t>
  </si>
  <si>
    <t>1353-8292</t>
  </si>
  <si>
    <t>2949-9232</t>
  </si>
  <si>
    <t>0168-8510</t>
  </si>
  <si>
    <t>2211-8837</t>
  </si>
  <si>
    <t>2590-2296</t>
  </si>
  <si>
    <t>2772-6320</t>
  </si>
  <si>
    <t>2772-4425</t>
  </si>
  <si>
    <t>3050-6131</t>
  </si>
  <si>
    <t>2213-0764</t>
  </si>
  <si>
    <t>0378-5955</t>
  </si>
  <si>
    <t>0147-9563</t>
  </si>
  <si>
    <t>1547-5271</t>
  </si>
  <si>
    <t>2666-5018</t>
  </si>
  <si>
    <t>2214-0271</t>
  </si>
  <si>
    <t>2405-8440</t>
  </si>
  <si>
    <t>1109-9666</t>
  </si>
  <si>
    <t>1574-1818</t>
  </si>
  <si>
    <t>2667-2952</t>
  </si>
  <si>
    <t>2949-8678</t>
  </si>
  <si>
    <t>1889-1837</t>
  </si>
  <si>
    <t>0315-0860</t>
  </si>
  <si>
    <t>2949-9283</t>
  </si>
  <si>
    <t>0018-506X</t>
  </si>
  <si>
    <t>2468-0141</t>
  </si>
  <si>
    <t>1365-182X</t>
  </si>
  <si>
    <t>2772-5014</t>
  </si>
  <si>
    <t>2773-0441</t>
  </si>
  <si>
    <t>2666-2477</t>
  </si>
  <si>
    <t>0198-8859</t>
  </si>
  <si>
    <t>0167-9457</t>
  </si>
  <si>
    <t>2666-1497</t>
  </si>
  <si>
    <t>0046-8177</t>
  </si>
  <si>
    <t>2772-736X</t>
  </si>
  <si>
    <t>1053-4822</t>
  </si>
  <si>
    <t>3050-6077</t>
  </si>
  <si>
    <t>2773-207X</t>
  </si>
  <si>
    <t>0304-386X</t>
  </si>
  <si>
    <t>2589-7578</t>
  </si>
  <si>
    <t>2773-0492</t>
  </si>
  <si>
    <t>0386-1112</t>
  </si>
  <si>
    <t>2667-2421</t>
  </si>
  <si>
    <t>0019-1035</t>
  </si>
  <si>
    <t>2405-9595</t>
  </si>
  <si>
    <t>2214-2509</t>
  </si>
  <si>
    <t>2468-6018</t>
  </si>
  <si>
    <t>2405-8963</t>
  </si>
  <si>
    <t>2949-7086</t>
  </si>
  <si>
    <t>2950-4678</t>
  </si>
  <si>
    <t>0970-3896</t>
  </si>
  <si>
    <t>2352-9067</t>
  </si>
  <si>
    <t>2949-9151</t>
  </si>
  <si>
    <t>2772-7076</t>
  </si>
  <si>
    <t>2772-9478</t>
  </si>
  <si>
    <t>0262-8856</t>
  </si>
  <si>
    <t>1776-9817</t>
  </si>
  <si>
    <t>1074-7613</t>
  </si>
  <si>
    <t>2590-0188</t>
  </si>
  <si>
    <t>0171-2985</t>
  </si>
  <si>
    <t>2667-1190</t>
  </si>
  <si>
    <t>0165-2478</t>
  </si>
  <si>
    <t>2542-3606</t>
  </si>
  <si>
    <t>3050-7871</t>
  </si>
  <si>
    <t>0019-3577</t>
  </si>
  <si>
    <t>0019-4832</t>
  </si>
  <si>
    <t>0255-0857</t>
  </si>
  <si>
    <t>0972-6292</t>
  </si>
  <si>
    <t>2950-3620</t>
  </si>
  <si>
    <t>0926-6690</t>
  </si>
  <si>
    <t>0019-8501</t>
  </si>
  <si>
    <t>0163-6383</t>
  </si>
  <si>
    <t>2590-0889</t>
  </si>
  <si>
    <t>2468-0427</t>
  </si>
  <si>
    <t>2666-9919</t>
  </si>
  <si>
    <t>2772-431X</t>
  </si>
  <si>
    <t>2949-9534</t>
  </si>
  <si>
    <t>2352-9148</t>
  </si>
  <si>
    <t>0378-7206</t>
  </si>
  <si>
    <t>0890-5401</t>
  </si>
  <si>
    <t>1471-7727</t>
  </si>
  <si>
    <t>0950-5849</t>
  </si>
  <si>
    <t>0167-6245</t>
  </si>
  <si>
    <t>1566-2535</t>
  </si>
  <si>
    <t>3050-5208</t>
  </si>
  <si>
    <t>0306-4573</t>
  </si>
  <si>
    <t>2214-3173</t>
  </si>
  <si>
    <t>0020-0190</t>
  </si>
  <si>
    <t>0020-0255</t>
  </si>
  <si>
    <t>0306-4379</t>
  </si>
  <si>
    <t>1350-4495</t>
  </si>
  <si>
    <t>0020-1383</t>
  </si>
  <si>
    <t>2949-7531</t>
  </si>
  <si>
    <t>1466-8564</t>
  </si>
  <si>
    <t>2950-2128</t>
  </si>
  <si>
    <t>1387-7003</t>
  </si>
  <si>
    <t>0020-1693</t>
  </si>
  <si>
    <t>0965-1748</t>
  </si>
  <si>
    <t>0167-6687</t>
  </si>
  <si>
    <t>0167-9260</t>
  </si>
  <si>
    <t>2213-4220</t>
  </si>
  <si>
    <t>0160-2896</t>
  </si>
  <si>
    <t>2666-5212</t>
  </si>
  <si>
    <t>3051-2530</t>
  </si>
  <si>
    <t>3050-6190</t>
  </si>
  <si>
    <t>3050-8371</t>
  </si>
  <si>
    <t>2667-1026</t>
  </si>
  <si>
    <t>2950-2616</t>
  </si>
  <si>
    <t>2949-866X</t>
  </si>
  <si>
    <t>3050-5445</t>
  </si>
  <si>
    <t>2666-6766</t>
  </si>
  <si>
    <t>2667-3053</t>
  </si>
  <si>
    <t>0964-3397</t>
  </si>
  <si>
    <t>2214-7519</t>
  </si>
  <si>
    <t>0966-9795</t>
  </si>
  <si>
    <t>0964-8305</t>
  </si>
  <si>
    <t>0969-5931</t>
  </si>
  <si>
    <t>0735-1933</t>
  </si>
  <si>
    <t>0958-6946</t>
  </si>
  <si>
    <t>0020-6539</t>
  </si>
  <si>
    <t>2110-7017</t>
  </si>
  <si>
    <t>1755-599X</t>
  </si>
  <si>
    <t>1567-5769</t>
  </si>
  <si>
    <t>0020-7519</t>
  </si>
  <si>
    <t>2211-3207</t>
  </si>
  <si>
    <t>2213-2244</t>
  </si>
  <si>
    <t>1467-0895</t>
  </si>
  <si>
    <t>0143-7496</t>
  </si>
  <si>
    <t>2468-6050</t>
  </si>
  <si>
    <t>2214-1391</t>
  </si>
  <si>
    <t>0924-8579</t>
  </si>
  <si>
    <t>1569-8432</t>
  </si>
  <si>
    <t>0888-613X</t>
  </si>
  <si>
    <t>0141-8130</t>
  </si>
  <si>
    <t>0167-5273</t>
  </si>
  <si>
    <t>2772-4875</t>
  </si>
  <si>
    <t>2666-6685</t>
  </si>
  <si>
    <t>2212-8689</t>
  </si>
  <si>
    <t>1697-2600</t>
  </si>
  <si>
    <t>0166-5162</t>
  </si>
  <si>
    <t>2666-3074</t>
  </si>
  <si>
    <t>1874-5482</t>
  </si>
  <si>
    <t>2212-4209</t>
  </si>
  <si>
    <t>0955-3959</t>
  </si>
  <si>
    <t>0738-0593</t>
  </si>
  <si>
    <t>0883-0355</t>
  </si>
  <si>
    <t>2666-3740</t>
  </si>
  <si>
    <t>0142-0615</t>
  </si>
  <si>
    <t>1452-3981</t>
  </si>
  <si>
    <t>0020-7225</t>
  </si>
  <si>
    <t>0142-1123</t>
  </si>
  <si>
    <t>0168-1605</t>
  </si>
  <si>
    <t>0169-2070</t>
  </si>
  <si>
    <t>1878-450X</t>
  </si>
  <si>
    <t>2577-4441</t>
  </si>
  <si>
    <t>1750-5836</t>
  </si>
  <si>
    <t>1048-891X</t>
  </si>
  <si>
    <t>0142-727X</t>
  </si>
  <si>
    <t>0017-9310</t>
  </si>
  <si>
    <t>0278-4319</t>
  </si>
  <si>
    <t>1071-5819</t>
  </si>
  <si>
    <t>0360-3199</t>
  </si>
  <si>
    <t>1438-4639</t>
  </si>
  <si>
    <t>0734-743X</t>
  </si>
  <si>
    <t>0169-8141</t>
  </si>
  <si>
    <t>0167-7187</t>
  </si>
  <si>
    <t>1201-9712</t>
  </si>
  <si>
    <t>0268-4012</t>
  </si>
  <si>
    <t>2667-0968</t>
  </si>
  <si>
    <t>2096-2487</t>
  </si>
  <si>
    <t>2666-6030</t>
  </si>
  <si>
    <t>0147-1767</t>
  </si>
  <si>
    <t>0160-2527</t>
  </si>
  <si>
    <t>2588-8404</t>
  </si>
  <si>
    <t>0890-6955</t>
  </si>
  <si>
    <t>1387-3806</t>
  </si>
  <si>
    <t>0020-7403</t>
  </si>
  <si>
    <t>1386-5056</t>
  </si>
  <si>
    <t>1438-4221</t>
  </si>
  <si>
    <t>2095-2686</t>
  </si>
  <si>
    <t>0301-9322</t>
  </si>
  <si>
    <t>2092-6782</t>
  </si>
  <si>
    <t>0020-7462</t>
  </si>
  <si>
    <t>2352-0132</t>
  </si>
  <si>
    <t>0020-7489</t>
  </si>
  <si>
    <t>2666-142X</t>
  </si>
  <si>
    <t>0959-289X</t>
  </si>
  <si>
    <t>0901-5027</t>
  </si>
  <si>
    <t>1878-1241</t>
  </si>
  <si>
    <t>1746-0689</t>
  </si>
  <si>
    <t>1879-9817</t>
  </si>
  <si>
    <t>2331-5180</t>
  </si>
  <si>
    <t>0165-5876</t>
  </si>
  <si>
    <t>0378-5173</t>
  </si>
  <si>
    <t>2590-1567</t>
  </si>
  <si>
    <t>0749-6419</t>
  </si>
  <si>
    <t>0308-0161</t>
  </si>
  <si>
    <t>0925-5273</t>
  </si>
  <si>
    <t>0263-7863</t>
  </si>
  <si>
    <t>0167-8760</t>
  </si>
  <si>
    <t>0263-4368</t>
  </si>
  <si>
    <t>0140-7007</t>
  </si>
  <si>
    <t>0167-8116</t>
  </si>
  <si>
    <t>1365-1609</t>
  </si>
  <si>
    <t>1001-6279</t>
  </si>
  <si>
    <t>0020-7683</t>
  </si>
  <si>
    <t>2210-2612</t>
  </si>
  <si>
    <t>2405-8572</t>
  </si>
  <si>
    <t>1290-0729</t>
  </si>
  <si>
    <t>2666-2027</t>
  </si>
  <si>
    <t>2046-0430</t>
  </si>
  <si>
    <t>1761-7227</t>
  </si>
  <si>
    <t>1041-6102</t>
  </si>
  <si>
    <t>1059-0560</t>
  </si>
  <si>
    <t>1477-3880</t>
  </si>
  <si>
    <t>1057-5219</t>
  </si>
  <si>
    <t>0144-8188</t>
  </si>
  <si>
    <t>2095-6339</t>
  </si>
  <si>
    <t>2214-7829</t>
  </si>
  <si>
    <t>2542-6605</t>
  </si>
  <si>
    <t>2667-3452</t>
  </si>
  <si>
    <t>2772-5944</t>
  </si>
  <si>
    <t>2950-4562</t>
  </si>
  <si>
    <t>2772-4441</t>
  </si>
  <si>
    <t>3051-1771</t>
  </si>
  <si>
    <t>2667-2588</t>
  </si>
  <si>
    <t>1959-0318</t>
  </si>
  <si>
    <t>0019-0578</t>
  </si>
  <si>
    <t>2589-0042</t>
  </si>
  <si>
    <t>0924-2716</t>
  </si>
  <si>
    <t>2667-3932</t>
  </si>
  <si>
    <t>1125-4718</t>
  </si>
  <si>
    <t>2949-7329</t>
  </si>
  <si>
    <t>2352-5126</t>
  </si>
  <si>
    <t>2666-3287</t>
  </si>
  <si>
    <t>2950-1989</t>
  </si>
  <si>
    <t>2772-963X</t>
  </si>
  <si>
    <t>2772-3747</t>
  </si>
  <si>
    <t>2452-302X</t>
  </si>
  <si>
    <t>2666-0873</t>
  </si>
  <si>
    <t>1936-878X</t>
  </si>
  <si>
    <t>1936-8798</t>
  </si>
  <si>
    <t>2666-0849</t>
  </si>
  <si>
    <t>2405-500X</t>
  </si>
  <si>
    <t>2213-1779</t>
  </si>
  <si>
    <t>2688-1152</t>
  </si>
  <si>
    <t>2772-414X</t>
  </si>
  <si>
    <t>3050-7189</t>
  </si>
  <si>
    <t>0922-1425</t>
  </si>
  <si>
    <t>1882-7616</t>
  </si>
  <si>
    <t>2949-9623</t>
  </si>
  <si>
    <t>2949-9690</t>
  </si>
  <si>
    <t>2950-5534</t>
  </si>
  <si>
    <t>2666-934X</t>
  </si>
  <si>
    <t>2666-9102</t>
  </si>
  <si>
    <t>2773-2320</t>
  </si>
  <si>
    <t>2949-8899</t>
  </si>
  <si>
    <t>2589-5559</t>
  </si>
  <si>
    <t>2950-1334</t>
  </si>
  <si>
    <t>2667-0267</t>
  </si>
  <si>
    <t>1297-319X</t>
  </si>
  <si>
    <t>0021-7557</t>
  </si>
  <si>
    <t>2772-9648</t>
  </si>
  <si>
    <t>2542-4351</t>
  </si>
  <si>
    <t>2543-3431</t>
  </si>
  <si>
    <t>1878-786X</t>
  </si>
  <si>
    <t>0021-7824</t>
  </si>
  <si>
    <t>0987-7983</t>
  </si>
  <si>
    <t>0762-915X</t>
  </si>
  <si>
    <t>2211-4238</t>
  </si>
  <si>
    <t>1617-1381</t>
  </si>
  <si>
    <t>0181-5512</t>
  </si>
  <si>
    <t>1091-8531</t>
  </si>
  <si>
    <t>0165-4101</t>
  </si>
  <si>
    <t>0278-4254</t>
  </si>
  <si>
    <t>0748-5751</t>
  </si>
  <si>
    <t>1054-139X</t>
  </si>
  <si>
    <t>2666-3309</t>
  </si>
  <si>
    <t>2090-1232</t>
  </si>
  <si>
    <t>0021-8502</t>
  </si>
  <si>
    <t>0165-0327</t>
  </si>
  <si>
    <t>2666-9153</t>
  </si>
  <si>
    <t>1464-343X</t>
  </si>
  <si>
    <t>0890-4065</t>
  </si>
  <si>
    <t>2666-1543</t>
  </si>
  <si>
    <t>0969-6997</t>
  </si>
  <si>
    <t>0021-8693</t>
  </si>
  <si>
    <t>0091-6749</t>
  </si>
  <si>
    <t>2772-8293</t>
  </si>
  <si>
    <t>2950-3124</t>
  </si>
  <si>
    <t>0925-8388</t>
  </si>
  <si>
    <t>2950-2845</t>
  </si>
  <si>
    <t>2949-9178</t>
  </si>
  <si>
    <t>0165-2370</t>
  </si>
  <si>
    <t>2957-3912</t>
  </si>
  <si>
    <t>0278-4165</t>
  </si>
  <si>
    <t>0887-6185</t>
  </si>
  <si>
    <t>0193-3973</t>
  </si>
  <si>
    <t>0926-9851</t>
  </si>
  <si>
    <t>1056-6171</t>
  </si>
  <si>
    <t>2214-7861</t>
  </si>
  <si>
    <t>0021-9045</t>
  </si>
  <si>
    <t>3051-2301</t>
  </si>
  <si>
    <t>0305-4403</t>
  </si>
  <si>
    <t>2352-409X</t>
  </si>
  <si>
    <t>0140-1963</t>
  </si>
  <si>
    <t>0883-5403</t>
  </si>
  <si>
    <t>2287-884X</t>
  </si>
  <si>
    <t>1226-8615</t>
  </si>
  <si>
    <t>1367-9120</t>
  </si>
  <si>
    <t>2590-0560</t>
  </si>
  <si>
    <t>1049-0078</t>
  </si>
  <si>
    <t>1364-6826</t>
  </si>
  <si>
    <t>0896-8411</t>
  </si>
  <si>
    <t>2949-8554</t>
  </si>
  <si>
    <t>0975-9476</t>
  </si>
  <si>
    <t>0378-4266</t>
  </si>
  <si>
    <t>0005-7916</t>
  </si>
  <si>
    <t>2589-9791</t>
  </si>
  <si>
    <t>2214-8043</t>
  </si>
  <si>
    <t>2214-6350</t>
  </si>
  <si>
    <t>0021-9258</t>
  </si>
  <si>
    <t>0021-9290</t>
  </si>
  <si>
    <t>3051-1313</t>
  </si>
  <si>
    <t>1532-0464</t>
  </si>
  <si>
    <t>2369-9698</t>
  </si>
  <si>
    <t>2588-9338</t>
  </si>
  <si>
    <t>1389-1723</t>
  </si>
  <si>
    <t>0168-1656</t>
  </si>
  <si>
    <t>1360-8592</t>
  </si>
  <si>
    <t>2212-1374</t>
  </si>
  <si>
    <t>2352-7102</t>
  </si>
  <si>
    <t>0148-2963</t>
  </si>
  <si>
    <t>0883-9026</t>
  </si>
  <si>
    <t>2667-2774</t>
  </si>
  <si>
    <t>2352-6734</t>
  </si>
  <si>
    <t>2213-5383</t>
  </si>
  <si>
    <t>1071-9164</t>
  </si>
  <si>
    <t>3050-6611</t>
  </si>
  <si>
    <t>0914-5087</t>
  </si>
  <si>
    <t>1878-5409</t>
  </si>
  <si>
    <t>1053-0770</t>
  </si>
  <si>
    <t>1934-5925</t>
  </si>
  <si>
    <t>1097-6647</t>
  </si>
  <si>
    <t>2667-2545</t>
  </si>
  <si>
    <t>0021-9517</t>
  </si>
  <si>
    <t>0733-5210</t>
  </si>
  <si>
    <t>1556-3499</t>
  </si>
  <si>
    <t>1556-3707</t>
  </si>
  <si>
    <t>1755-5345</t>
  </si>
  <si>
    <t>0021-9673</t>
  </si>
  <si>
    <t>1570-0232</t>
  </si>
  <si>
    <t>2772-3917</t>
  </si>
  <si>
    <t>0959-6526</t>
  </si>
  <si>
    <t>2949-7280</t>
  </si>
  <si>
    <t>0973-6883</t>
  </si>
  <si>
    <t>2214-6237</t>
  </si>
  <si>
    <t>2214-6245</t>
  </si>
  <si>
    <t>0952-8180</t>
  </si>
  <si>
    <t>1094-6950</t>
  </si>
  <si>
    <t>0895-4356</t>
  </si>
  <si>
    <t>1933-2874</t>
  </si>
  <si>
    <t>0967-5868</t>
  </si>
  <si>
    <t>0976-5662</t>
  </si>
  <si>
    <t>2405-5794</t>
  </si>
  <si>
    <t>1386-6532</t>
  </si>
  <si>
    <t>2667-0380</t>
  </si>
  <si>
    <t>2213-297X</t>
  </si>
  <si>
    <t>2212-9820</t>
  </si>
  <si>
    <t>0021-9797</t>
  </si>
  <si>
    <t>2405-8513</t>
  </si>
  <si>
    <t>0021-9924</t>
  </si>
  <si>
    <t>0147-5967</t>
  </si>
  <si>
    <t>0021-9975</t>
  </si>
  <si>
    <t>0885-064X</t>
  </si>
  <si>
    <t>2772-8277</t>
  </si>
  <si>
    <t>0377-0427</t>
  </si>
  <si>
    <t>2772-4158</t>
  </si>
  <si>
    <t>0021-9991</t>
  </si>
  <si>
    <t>2590-0552</t>
  </si>
  <si>
    <t>1877-7503</t>
  </si>
  <si>
    <t>0022-0000</t>
  </si>
  <si>
    <t>2590-1184</t>
  </si>
  <si>
    <t>0143-974X</t>
  </si>
  <si>
    <t>0169-7722</t>
  </si>
  <si>
    <t>1815-5669</t>
  </si>
  <si>
    <t>2212-1447</t>
  </si>
  <si>
    <t>0168-3659</t>
  </si>
  <si>
    <t>0929-1199</t>
  </si>
  <si>
    <t>1010-5182</t>
  </si>
  <si>
    <t>2713-3745</t>
  </si>
  <si>
    <t>0047-2352</t>
  </si>
  <si>
    <t>0883-9441</t>
  </si>
  <si>
    <t>0022-0248</t>
  </si>
  <si>
    <t>1296-2074</t>
  </si>
  <si>
    <t>2950-1059</t>
  </si>
  <si>
    <t>1569-1993</t>
  </si>
  <si>
    <t>0022-0302</t>
  </si>
  <si>
    <t>1991-7902</t>
  </si>
  <si>
    <t>0300-5712</t>
  </si>
  <si>
    <t>2950-306X</t>
  </si>
  <si>
    <t>0923-1811</t>
  </si>
  <si>
    <t>2212-571X</t>
  </si>
  <si>
    <t>0304-3878</t>
  </si>
  <si>
    <t>1056-8727</t>
  </si>
  <si>
    <t>0022-0396</t>
  </si>
  <si>
    <t>2773-0670</t>
  </si>
  <si>
    <t>1773-2247</t>
  </si>
  <si>
    <t>2950-5763</t>
  </si>
  <si>
    <t>0304-4076</t>
  </si>
  <si>
    <t>0167-2681</t>
  </si>
  <si>
    <t>2949-7914</t>
  </si>
  <si>
    <t>0165-1889</t>
  </si>
  <si>
    <t>0167-4870</t>
  </si>
  <si>
    <t>0022-0531</t>
  </si>
  <si>
    <t>0148-6195</t>
  </si>
  <si>
    <t>2949-9488</t>
  </si>
  <si>
    <t>1572-6657</t>
  </si>
  <si>
    <t>0022-0736</t>
  </si>
  <si>
    <t>1050-6411</t>
  </si>
  <si>
    <t>0368-2048</t>
  </si>
  <si>
    <t>1674-862X</t>
  </si>
  <si>
    <t>0304-3886</t>
  </si>
  <si>
    <t>0099-1767</t>
  </si>
  <si>
    <t>0927-5398</t>
  </si>
  <si>
    <t>0099-2399</t>
  </si>
  <si>
    <t>2949-8384</t>
  </si>
  <si>
    <t>2095-4956</t>
  </si>
  <si>
    <t>3051-097X</t>
  </si>
  <si>
    <t>2352-152X</t>
  </si>
  <si>
    <t>0923-4748</t>
  </si>
  <si>
    <t>2307-1877</t>
  </si>
  <si>
    <t>1475-1585</t>
  </si>
  <si>
    <t>2213-3437</t>
  </si>
  <si>
    <t>0095-0696</t>
  </si>
  <si>
    <t>0301-4797</t>
  </si>
  <si>
    <t>0272-4944</t>
  </si>
  <si>
    <t>0265-931X</t>
  </si>
  <si>
    <t>1001-0742</t>
  </si>
  <si>
    <t>2950-4333</t>
  </si>
  <si>
    <t>2949-9054</t>
  </si>
  <si>
    <t>0737-0806</t>
  </si>
  <si>
    <t>0378-8741</t>
  </si>
  <si>
    <t>1532-3382</t>
  </si>
  <si>
    <t>1728-869X</t>
  </si>
  <si>
    <t>1557-5063</t>
  </si>
  <si>
    <t>0022-0965</t>
  </si>
  <si>
    <t>3051-1186</t>
  </si>
  <si>
    <t>0022-0981</t>
  </si>
  <si>
    <t>0022-1031</t>
  </si>
  <si>
    <t>1877-8585</t>
  </si>
  <si>
    <t>0304-405X</t>
  </si>
  <si>
    <t>1042-9573</t>
  </si>
  <si>
    <t>1386-4181</t>
  </si>
  <si>
    <t>1572-3089</t>
  </si>
  <si>
    <t>0094-730X</t>
  </si>
  <si>
    <t>0889-9746</t>
  </si>
  <si>
    <t>0022-1139</t>
  </si>
  <si>
    <t>0889-1575</t>
  </si>
  <si>
    <t>0260-8774</t>
  </si>
  <si>
    <t>0362-028X</t>
  </si>
  <si>
    <t>1752-928X</t>
  </si>
  <si>
    <t>0022-1236</t>
  </si>
  <si>
    <t>1756-4646</t>
  </si>
  <si>
    <t>2772-5669</t>
  </si>
  <si>
    <t>1673-8527</t>
  </si>
  <si>
    <t>0375-6742</t>
  </si>
  <si>
    <t>0264-3707</t>
  </si>
  <si>
    <t>0393-0440</t>
  </si>
  <si>
    <t>1879-4068</t>
  </si>
  <si>
    <t>1226-8453</t>
  </si>
  <si>
    <t>2213-7165</t>
  </si>
  <si>
    <t>2667-3193</t>
  </si>
  <si>
    <t>0380-1330</t>
  </si>
  <si>
    <t>2468-7847</t>
  </si>
  <si>
    <t>0974-3227</t>
  </si>
  <si>
    <t>2589-5141</t>
  </si>
  <si>
    <t>0894-1130</t>
  </si>
  <si>
    <t>0304-3894</t>
  </si>
  <si>
    <t>2772-4166</t>
  </si>
  <si>
    <t>2666-9110</t>
  </si>
  <si>
    <t>3051-0597</t>
  </si>
  <si>
    <t>3051-0600</t>
  </si>
  <si>
    <t>0167-6296</t>
  </si>
  <si>
    <t>0168-8278</t>
  </si>
  <si>
    <t>2210-8033</t>
  </si>
  <si>
    <t>2214-4048</t>
  </si>
  <si>
    <t>0305-7488</t>
  </si>
  <si>
    <t>0195-6701</t>
  </si>
  <si>
    <t>1447-6770</t>
  </si>
  <si>
    <t>1051-1377</t>
  </si>
  <si>
    <t>0047-2484</t>
  </si>
  <si>
    <t>1570-6443</t>
  </si>
  <si>
    <t>0022-1694</t>
  </si>
  <si>
    <t>2589-9155</t>
  </si>
  <si>
    <t>2214-5818</t>
  </si>
  <si>
    <t>0022-1759</t>
  </si>
  <si>
    <t>2468-4988</t>
  </si>
  <si>
    <t>1226-086X</t>
  </si>
  <si>
    <t>2452-414X</t>
  </si>
  <si>
    <t>2950-2764</t>
  </si>
  <si>
    <t>0163-4453</t>
  </si>
  <si>
    <t>1341-321X</t>
  </si>
  <si>
    <t>1876-0341</t>
  </si>
  <si>
    <t>2949-7159</t>
  </si>
  <si>
    <t>2214-2126</t>
  </si>
  <si>
    <t>1751-1577</t>
  </si>
  <si>
    <t>2772-9915</t>
  </si>
  <si>
    <t>2444-569X</t>
  </si>
  <si>
    <t>0162-0134</t>
  </si>
  <si>
    <t>0022-1910</t>
  </si>
  <si>
    <t>2095-4964</t>
  </si>
  <si>
    <t>2667-100X</t>
  </si>
  <si>
    <t>3050-9971</t>
  </si>
  <si>
    <t>0022-1996</t>
  </si>
  <si>
    <t>1075-4253</t>
  </si>
  <si>
    <t>0261-5606</t>
  </si>
  <si>
    <t>2405-4526</t>
  </si>
  <si>
    <t>2096-3602</t>
  </si>
  <si>
    <t>0022-2011</t>
  </si>
  <si>
    <t>0022-202X</t>
  </si>
  <si>
    <t>1087-0024</t>
  </si>
  <si>
    <t>2772-4220</t>
  </si>
  <si>
    <t>2059-7754</t>
  </si>
  <si>
    <t>2949-7051</t>
  </si>
  <si>
    <t>1319-1578</t>
  </si>
  <si>
    <t>1018-3639</t>
  </si>
  <si>
    <t>1018-3647</t>
  </si>
  <si>
    <t>0022-2275</t>
  </si>
  <si>
    <t>2666-9676</t>
  </si>
  <si>
    <t>2352-2208</t>
  </si>
  <si>
    <t>0950-4230</t>
  </si>
  <si>
    <t>0022-2313</t>
  </si>
  <si>
    <t>0164-0704</t>
  </si>
  <si>
    <t>2213-9567</t>
  </si>
  <si>
    <t>1090-7807</t>
  </si>
  <si>
    <t>2666-4410</t>
  </si>
  <si>
    <t>0304-8853</t>
  </si>
  <si>
    <t>2096-2320</t>
  </si>
  <si>
    <t>0161-4754</t>
  </si>
  <si>
    <t>1526-6125</t>
  </si>
  <si>
    <t>0278-6125</t>
  </si>
  <si>
    <t>0924-7963</t>
  </si>
  <si>
    <t>2667-145X</t>
  </si>
  <si>
    <t>0924-0136</t>
  </si>
  <si>
    <t>2238-7854</t>
  </si>
  <si>
    <t>1005-0302</t>
  </si>
  <si>
    <t>2352-8478</t>
  </si>
  <si>
    <t>0022-247X</t>
  </si>
  <si>
    <t>0304-4068</t>
  </si>
  <si>
    <t>0022-2496</t>
  </si>
  <si>
    <t>1939-8654</t>
  </si>
  <si>
    <t>1156-5233</t>
  </si>
  <si>
    <t>0376-7388</t>
  </si>
  <si>
    <t>2772-4212</t>
  </si>
  <si>
    <t>0749-596X</t>
  </si>
  <si>
    <t>0167-7012</t>
  </si>
  <si>
    <t>2666-6235</t>
  </si>
  <si>
    <t>1553-4650</t>
  </si>
  <si>
    <t>0022-2828</t>
  </si>
  <si>
    <t>2772-9761</t>
  </si>
  <si>
    <t>0022-2836</t>
  </si>
  <si>
    <t>1093-3263</t>
  </si>
  <si>
    <t>0167-7322</t>
  </si>
  <si>
    <t>0022-2852</t>
  </si>
  <si>
    <t>0022-2860</t>
  </si>
  <si>
    <t>0304-3932</t>
  </si>
  <si>
    <t>2950-0044</t>
  </si>
  <si>
    <t>1042-444X</t>
  </si>
  <si>
    <t>0047-259X</t>
  </si>
  <si>
    <t>2468-256X</t>
  </si>
  <si>
    <t>2773-0786</t>
  </si>
  <si>
    <t>1355-1841</t>
  </si>
  <si>
    <t>1084-8045</t>
  </si>
  <si>
    <t>0165-5728</t>
  </si>
  <si>
    <t>0911-6044</t>
  </si>
  <si>
    <t>0150-9861</t>
  </si>
  <si>
    <t>2324-2426</t>
  </si>
  <si>
    <t>0165-0270</t>
  </si>
  <si>
    <t>0022-3093</t>
  </si>
  <si>
    <t>2590-1591</t>
  </si>
  <si>
    <t>0377-0257</t>
  </si>
  <si>
    <t>0022-3115</t>
  </si>
  <si>
    <t>0022-314X</t>
  </si>
  <si>
    <t>2155-8256</t>
  </si>
  <si>
    <t>1499-4046</t>
  </si>
  <si>
    <t>2211-3649</t>
  </si>
  <si>
    <t>1701-2163</t>
  </si>
  <si>
    <t>2468-0133</t>
  </si>
  <si>
    <t>1888-4296</t>
  </si>
  <si>
    <t>0278-2391</t>
  </si>
  <si>
    <t>2212-4268</t>
  </si>
  <si>
    <t>1349-0079</t>
  </si>
  <si>
    <t>0022-328X</t>
  </si>
  <si>
    <t>2773-157X</t>
  </si>
  <si>
    <t>0949-2658</t>
  </si>
  <si>
    <t>2214-031X</t>
  </si>
  <si>
    <t>0972-978X</t>
  </si>
  <si>
    <t>1672-2930</t>
  </si>
  <si>
    <t>2213-0780</t>
  </si>
  <si>
    <t>0885-3924</t>
  </si>
  <si>
    <t>0743-7315</t>
  </si>
  <si>
    <t>2153-3539</t>
  </si>
  <si>
    <t>1083-3188</t>
  </si>
  <si>
    <t>0891-5245</t>
  </si>
  <si>
    <t>0882-5963</t>
  </si>
  <si>
    <t>0022-3468</t>
  </si>
  <si>
    <t>2213-5766</t>
  </si>
  <si>
    <t>2949-7116</t>
  </si>
  <si>
    <t>1477-5131</t>
  </si>
  <si>
    <t>1089-9472</t>
  </si>
  <si>
    <t>2095-1779</t>
  </si>
  <si>
    <t>0731-7085</t>
  </si>
  <si>
    <t>2949-771X</t>
  </si>
  <si>
    <t>0022-3549</t>
  </si>
  <si>
    <t>1056-8719</t>
  </si>
  <si>
    <t>1347-8613</t>
  </si>
  <si>
    <t>0095-4470</t>
  </si>
  <si>
    <t>2666-4690</t>
  </si>
  <si>
    <t>1010-6030</t>
  </si>
  <si>
    <t>1011-1344</t>
  </si>
  <si>
    <t>1389-5567</t>
  </si>
  <si>
    <t>0022-3697</t>
  </si>
  <si>
    <t>1836-9553</t>
  </si>
  <si>
    <t>2667-1433</t>
  </si>
  <si>
    <t>0176-1617</t>
  </si>
  <si>
    <t>0161-8938</t>
  </si>
  <si>
    <t>0378-7753</t>
  </si>
  <si>
    <t>2666-2485</t>
  </si>
  <si>
    <t>0378-2166</t>
  </si>
  <si>
    <t>0959-1524</t>
  </si>
  <si>
    <t>8755-7223</t>
  </si>
  <si>
    <t>0022-3913</t>
  </si>
  <si>
    <t>1874-3919</t>
  </si>
  <si>
    <t>0022-3956</t>
  </si>
  <si>
    <t>0022-3999</t>
  </si>
  <si>
    <t>0047-2727</t>
  </si>
  <si>
    <t>2666-5514</t>
  </si>
  <si>
    <t>1077-291X</t>
  </si>
  <si>
    <t>1478-4092</t>
  </si>
  <si>
    <t>0022-4049</t>
  </si>
  <si>
    <t>0022-4073</t>
  </si>
  <si>
    <t>1546-0843</t>
  </si>
  <si>
    <t>2210-9706</t>
  </si>
  <si>
    <t>3050-8142</t>
  </si>
  <si>
    <t>1002-0721</t>
  </si>
  <si>
    <t>1051-2276</t>
  </si>
  <si>
    <t>0165-0378</t>
  </si>
  <si>
    <t>0092-6566</t>
  </si>
  <si>
    <t>3050-516X</t>
  </si>
  <si>
    <t>2666-6596</t>
  </si>
  <si>
    <t>0022-4359</t>
  </si>
  <si>
    <t>0969-6989</t>
  </si>
  <si>
    <t>2097-0498</t>
  </si>
  <si>
    <t>1674-7755</t>
  </si>
  <si>
    <t>0743-0167</t>
  </si>
  <si>
    <t>2949-9267</t>
  </si>
  <si>
    <t>0022-4375</t>
  </si>
  <si>
    <t>2666-4496</t>
  </si>
  <si>
    <t>1319-6103</t>
  </si>
  <si>
    <t>0022-4405</t>
  </si>
  <si>
    <t>1440-2440</t>
  </si>
  <si>
    <t>2468-2179</t>
  </si>
  <si>
    <t>1385-1101</t>
  </si>
  <si>
    <t>1060-3743</t>
  </si>
  <si>
    <t>1058-2746</t>
  </si>
  <si>
    <t>0022-4596</t>
  </si>
  <si>
    <t>0022-460X</t>
  </si>
  <si>
    <t>0895-9811</t>
  </si>
  <si>
    <t>2468-8967</t>
  </si>
  <si>
    <t>2095-2546</t>
  </si>
  <si>
    <t>0378-3758</t>
  </si>
  <si>
    <t>0022-474X</t>
  </si>
  <si>
    <t>1052-3057</t>
  </si>
  <si>
    <t>1047-8477</t>
  </si>
  <si>
    <t>2590-1524</t>
  </si>
  <si>
    <t>0191-8141</t>
  </si>
  <si>
    <t>3050-4805</t>
  </si>
  <si>
    <t>2949-8759</t>
  </si>
  <si>
    <t>1931-7204</t>
  </si>
  <si>
    <t>0022-4804</t>
  </si>
  <si>
    <t>2950-3701</t>
  </si>
  <si>
    <t>0747-7171</t>
  </si>
  <si>
    <t>0164-1212</t>
  </si>
  <si>
    <t>1383-7621</t>
  </si>
  <si>
    <t>1658-3612</t>
  </si>
  <si>
    <t>0022-4898</t>
  </si>
  <si>
    <t>2667-2960</t>
  </si>
  <si>
    <t>2212-2672</t>
  </si>
  <si>
    <t>2941-198X</t>
  </si>
  <si>
    <t>0890-8567</t>
  </si>
  <si>
    <t>0190-9622</t>
  </si>
  <si>
    <t>0735-1097</t>
  </si>
  <si>
    <t>1546-1440</t>
  </si>
  <si>
    <t>1525-8610</t>
  </si>
  <si>
    <t>1544-3191</t>
  </si>
  <si>
    <t>2213-2945</t>
  </si>
  <si>
    <t>0894-7317</t>
  </si>
  <si>
    <t>1743-9671</t>
  </si>
  <si>
    <t>0955-2219</t>
  </si>
  <si>
    <t>2950-6301</t>
  </si>
  <si>
    <t>0929-6646</t>
  </si>
  <si>
    <t>0016-0032</t>
  </si>
  <si>
    <t>0019-4522</t>
  </si>
  <si>
    <t>0889-1583</t>
  </si>
  <si>
    <t>1751-6161</t>
  </si>
  <si>
    <t>0022-5096</t>
  </si>
  <si>
    <t>2667-0054</t>
  </si>
  <si>
    <t>0027-9684</t>
  </si>
  <si>
    <t>0022-510X</t>
  </si>
  <si>
    <t>2768-2765</t>
  </si>
  <si>
    <t>1658-077X</t>
  </si>
  <si>
    <t>2772-9303</t>
  </si>
  <si>
    <t>1876-1070</t>
  </si>
  <si>
    <t>2212-4438</t>
  </si>
  <si>
    <t>0022-5193</t>
  </si>
  <si>
    <t>0306-4565</t>
  </si>
  <si>
    <t>1556-0864</t>
  </si>
  <si>
    <t>1538-7836</t>
  </si>
  <si>
    <t>0965-206X</t>
  </si>
  <si>
    <t>2773-0506</t>
  </si>
  <si>
    <t>0946-672X</t>
  </si>
  <si>
    <t>2225-4110</t>
  </si>
  <si>
    <t>2095-7548</t>
  </si>
  <si>
    <t>2095-7564</t>
  </si>
  <si>
    <t>2589-9090</t>
  </si>
  <si>
    <t>2214-1405</t>
  </si>
  <si>
    <t>0966-6923</t>
  </si>
  <si>
    <t>0094-1190</t>
  </si>
  <si>
    <t>2226-5856</t>
  </si>
  <si>
    <t>2667-0917</t>
  </si>
  <si>
    <t>3050-6093</t>
  </si>
  <si>
    <t>1051-0443</t>
  </si>
  <si>
    <t>1062-0303</t>
  </si>
  <si>
    <t>0741-5214</t>
  </si>
  <si>
    <t>2213-333X</t>
  </si>
  <si>
    <t>1558-7878</t>
  </si>
  <si>
    <t>1760-2734</t>
  </si>
  <si>
    <t>0166-0934</t>
  </si>
  <si>
    <t>2055-6640</t>
  </si>
  <si>
    <t>1878-7886</t>
  </si>
  <si>
    <t>1047-3203</t>
  </si>
  <si>
    <t>0001-8791</t>
  </si>
  <si>
    <t>0892-1997</t>
  </si>
  <si>
    <t>0377-0273</t>
  </si>
  <si>
    <t>2214-7144</t>
  </si>
  <si>
    <t>1570-8268</t>
  </si>
  <si>
    <t>0167-6105</t>
  </si>
  <si>
    <t>1090-9516</t>
  </si>
  <si>
    <t>2352-5878</t>
  </si>
  <si>
    <t>2772-6967</t>
  </si>
  <si>
    <t>2666-6383</t>
  </si>
  <si>
    <t>2666-2736</t>
  </si>
  <si>
    <t>2950-6050</t>
  </si>
  <si>
    <t>2666-2507</t>
  </si>
  <si>
    <t>2666-3643</t>
  </si>
  <si>
    <t>2949-9127</t>
  </si>
  <si>
    <t>2666-3503</t>
  </si>
  <si>
    <t>0085-2538</t>
  </si>
  <si>
    <t>2468-0249</t>
  </si>
  <si>
    <t>2157-1716</t>
  </si>
  <si>
    <t>2590-0595</t>
  </si>
  <si>
    <t>0950-7051</t>
  </si>
  <si>
    <t>1226-7988</t>
  </si>
  <si>
    <t>2307-4108</t>
  </si>
  <si>
    <t>0013-7006</t>
  </si>
  <si>
    <t>0014-3855</t>
  </si>
  <si>
    <t>0755-4982</t>
  </si>
  <si>
    <t>2666-4798</t>
  </si>
  <si>
    <t>2590-2504</t>
  </si>
  <si>
    <t>0248-8663</t>
  </si>
  <si>
    <t>3050-4740</t>
  </si>
  <si>
    <t>0023-6837</t>
  </si>
  <si>
    <t>0927-5371</t>
  </si>
  <si>
    <t>0264-8377</t>
  </si>
  <si>
    <t>0169-2046</t>
  </si>
  <si>
    <t>3050-7324</t>
  </si>
  <si>
    <t>0271-5309</t>
  </si>
  <si>
    <t>2949-9038</t>
  </si>
  <si>
    <t>0388-0001</t>
  </si>
  <si>
    <t>2666-1438</t>
  </si>
  <si>
    <t>2950-0249</t>
  </si>
  <si>
    <t>2772-9532</t>
  </si>
  <si>
    <t>1279-7960</t>
  </si>
  <si>
    <t>1041-6080</t>
  </si>
  <si>
    <t>0959-4752</t>
  </si>
  <si>
    <t>0023-9690</t>
  </si>
  <si>
    <t>3050-578X</t>
  </si>
  <si>
    <t>1344-6223</t>
  </si>
  <si>
    <t>1570-1808</t>
  </si>
  <si>
    <t>0145-2126</t>
  </si>
  <si>
    <t>2213-0489</t>
  </si>
  <si>
    <t>0740-8188</t>
  </si>
  <si>
    <t>0024-3205</t>
  </si>
  <si>
    <t>2214-5524</t>
  </si>
  <si>
    <t>0075-9511</t>
  </si>
  <si>
    <t>0024-3795</t>
  </si>
  <si>
    <t>0024-3841</t>
  </si>
  <si>
    <t>0898-5898</t>
  </si>
  <si>
    <t>0024-4937</t>
  </si>
  <si>
    <t>2542-5684</t>
  </si>
  <si>
    <t>1871-1413</t>
  </si>
  <si>
    <t>0024-6301</t>
  </si>
  <si>
    <t>0169-5002</t>
  </si>
  <si>
    <t>0023-6438</t>
  </si>
  <si>
    <t>2666-8270</t>
  </si>
  <si>
    <t>2950-5844</t>
  </si>
  <si>
    <t>0730-725X</t>
  </si>
  <si>
    <t>2772-5162</t>
  </si>
  <si>
    <t>1044-5005</t>
  </si>
  <si>
    <t>2213-8463</t>
  </si>
  <si>
    <t>0264-8172</t>
  </si>
  <si>
    <t>0304-4203</t>
  </si>
  <si>
    <t>0141-1136</t>
  </si>
  <si>
    <t>1874-7787</t>
  </si>
  <si>
    <t>0025-3227</t>
  </si>
  <si>
    <t>0377-8398</t>
  </si>
  <si>
    <t>0308-597X</t>
  </si>
  <si>
    <t>0025-326X</t>
  </si>
  <si>
    <t>0951-8339</t>
  </si>
  <si>
    <t>2666-822X</t>
  </si>
  <si>
    <t>2950-3086</t>
  </si>
  <si>
    <t>3050-4562</t>
  </si>
  <si>
    <t>2589-1529</t>
  </si>
  <si>
    <t>0264-1275</t>
  </si>
  <si>
    <t>1044-5803</t>
  </si>
  <si>
    <t>0254-0584</t>
  </si>
  <si>
    <t>3050-4716</t>
  </si>
  <si>
    <t>0167-577X</t>
  </si>
  <si>
    <t>2590-1508</t>
  </si>
  <si>
    <t>2666-9358</t>
  </si>
  <si>
    <t>0025-5408</t>
  </si>
  <si>
    <t>0921-5093</t>
  </si>
  <si>
    <t>0921-5107</t>
  </si>
  <si>
    <t>0927-796X</t>
  </si>
  <si>
    <t>2589-2991</t>
  </si>
  <si>
    <t>1369-8001</t>
  </si>
  <si>
    <t>1369-7021</t>
  </si>
  <si>
    <t>2590-0498</t>
  </si>
  <si>
    <t>2590-0064</t>
  </si>
  <si>
    <t>2949-754X</t>
  </si>
  <si>
    <t>2468-5194</t>
  </si>
  <si>
    <t>2352-4928</t>
  </si>
  <si>
    <t>2772-9494</t>
  </si>
  <si>
    <t>2468-6069</t>
  </si>
  <si>
    <t>2588-8420</t>
  </si>
  <si>
    <t>2542-5293</t>
  </si>
  <si>
    <t>2950-2578</t>
  </si>
  <si>
    <t>2589-2347</t>
  </si>
  <si>
    <t>2214-7853</t>
  </si>
  <si>
    <t>0025-5564</t>
  </si>
  <si>
    <t>0165-4896</t>
  </si>
  <si>
    <t>0378-4754</t>
  </si>
  <si>
    <t>0945-053X</t>
  </si>
  <si>
    <t>2590-0285</t>
  </si>
  <si>
    <t>2590-2385</t>
  </si>
  <si>
    <t>0378-5122</t>
  </si>
  <si>
    <t>0025-6196</t>
  </si>
  <si>
    <t>2949-7612</t>
  </si>
  <si>
    <t>0263-2241</t>
  </si>
  <si>
    <t>2949-8775</t>
  </si>
  <si>
    <t>3050-6441</t>
  </si>
  <si>
    <t>2950-3450</t>
  </si>
  <si>
    <t>2772-2759</t>
  </si>
  <si>
    <t>2665-9174</t>
  </si>
  <si>
    <t>0309-1740</t>
  </si>
  <si>
    <t>0888-3270</t>
  </si>
  <si>
    <t>0167-6636</t>
  </si>
  <si>
    <t>0093-6413</t>
  </si>
  <si>
    <t>0094-114X</t>
  </si>
  <si>
    <t>0047-6374</t>
  </si>
  <si>
    <t>2949-9070</t>
  </si>
  <si>
    <t>0957-4158</t>
  </si>
  <si>
    <t>2666-6340</t>
  </si>
  <si>
    <t>0958-3947</t>
  </si>
  <si>
    <t>1350-4533</t>
  </si>
  <si>
    <t>0306-9877</t>
  </si>
  <si>
    <t>1361-8415</t>
  </si>
  <si>
    <t>2211-7539</t>
  </si>
  <si>
    <t>2949-9186</t>
  </si>
  <si>
    <t>0025-7753</t>
  </si>
  <si>
    <t>2387-0206</t>
  </si>
  <si>
    <t>2603-9249</t>
  </si>
  <si>
    <t>1138-3593</t>
  </si>
  <si>
    <t>0210-5691</t>
  </si>
  <si>
    <t>2173-5727</t>
  </si>
  <si>
    <t>2590-0986</t>
  </si>
  <si>
    <t>2590-0978</t>
  </si>
  <si>
    <t>2590-0935</t>
  </si>
  <si>
    <t>2590-1249</t>
  </si>
  <si>
    <t>2950-3477</t>
  </si>
  <si>
    <t>2212-6570</t>
  </si>
  <si>
    <t>1755-2966</t>
  </si>
  <si>
    <t>2950-1628</t>
  </si>
  <si>
    <t>1096-7176</t>
  </si>
  <si>
    <t>2214-0301</t>
  </si>
  <si>
    <t>0026-0495</t>
  </si>
  <si>
    <t>2589-9368</t>
  </si>
  <si>
    <t>1046-2023</t>
  </si>
  <si>
    <t>2590-2601</t>
  </si>
  <si>
    <t>2215-0161</t>
  </si>
  <si>
    <t>2590-0072</t>
  </si>
  <si>
    <t>2773-0123</t>
  </si>
  <si>
    <t>1286-4579</t>
  </si>
  <si>
    <t>0882-4010</t>
  </si>
  <si>
    <t>2352-3522</t>
  </si>
  <si>
    <t>0944-5013</t>
  </si>
  <si>
    <t>0026-265X</t>
  </si>
  <si>
    <t>0167-9317</t>
  </si>
  <si>
    <t>1879-2391</t>
  </si>
  <si>
    <t>0026-2714</t>
  </si>
  <si>
    <t>0968-4328</t>
  </si>
  <si>
    <t>1387-1811</t>
  </si>
  <si>
    <t>0141-9331</t>
  </si>
  <si>
    <t>0026-2862</t>
  </si>
  <si>
    <t>0266-6138</t>
  </si>
  <si>
    <t>0892-6875</t>
  </si>
  <si>
    <t>2590-2792</t>
  </si>
  <si>
    <t>1567-7249</t>
  </si>
  <si>
    <t>0893-3952</t>
  </si>
  <si>
    <t>1535-9476</t>
  </si>
  <si>
    <t>0166-6851</t>
  </si>
  <si>
    <t>0303-7207</t>
  </si>
  <si>
    <t>1044-7431</t>
  </si>
  <si>
    <t>0890-8508</t>
  </si>
  <si>
    <t>0098-2997</t>
  </si>
  <si>
    <t>2468-8231</t>
  </si>
  <si>
    <t>1097-2765</t>
  </si>
  <si>
    <t>3050-7960</t>
  </si>
  <si>
    <t>1096-7192</t>
  </si>
  <si>
    <t>2214-4269</t>
  </si>
  <si>
    <t>0161-5890</t>
  </si>
  <si>
    <t>2212-8778</t>
  </si>
  <si>
    <t>0026-895X</t>
  </si>
  <si>
    <t>1055-7903</t>
  </si>
  <si>
    <t>1674-2052</t>
  </si>
  <si>
    <t>1525-0016</t>
  </si>
  <si>
    <t>2329-0501</t>
  </si>
  <si>
    <t>2162-2531</t>
  </si>
  <si>
    <t>2950-3299</t>
  </si>
  <si>
    <t>1016-8478</t>
  </si>
  <si>
    <t>1286-0115</t>
  </si>
  <si>
    <t>0245-5919</t>
  </si>
  <si>
    <t>1933-0219</t>
  </si>
  <si>
    <t>2772-5863</t>
  </si>
  <si>
    <t>2211-0348</t>
  </si>
  <si>
    <t>2468-7812</t>
  </si>
  <si>
    <t>0027-5107</t>
  </si>
  <si>
    <t>1383-5718</t>
  </si>
  <si>
    <t>1383-5742</t>
  </si>
  <si>
    <t>1246-7391</t>
  </si>
  <si>
    <t>1279-8479</t>
  </si>
  <si>
    <t>1957-2557</t>
  </si>
  <si>
    <t>1769-4493</t>
  </si>
  <si>
    <t>0928-1258</t>
  </si>
  <si>
    <t>1636-6522</t>
  </si>
  <si>
    <t>3050-6204</t>
  </si>
  <si>
    <t>1878-7789</t>
  </si>
  <si>
    <t>2211-2855</t>
  </si>
  <si>
    <t>2589-9651</t>
  </si>
  <si>
    <t>1748-0132</t>
  </si>
  <si>
    <t>2790-6760</t>
  </si>
  <si>
    <t>2666-9781</t>
  </si>
  <si>
    <t>2352-507X</t>
  </si>
  <si>
    <t>2452-0748</t>
  </si>
  <si>
    <t>2352-8540</t>
  </si>
  <si>
    <t>2666-5921</t>
  </si>
  <si>
    <t>2949-7191</t>
  </si>
  <si>
    <t>2772-4115</t>
  </si>
  <si>
    <t>0963-8695</t>
  </si>
  <si>
    <t>0211-6995</t>
  </si>
  <si>
    <t>2013-2514</t>
  </si>
  <si>
    <t>1476-5586</t>
  </si>
  <si>
    <t>0893-6080</t>
  </si>
  <si>
    <t>0197-4580</t>
  </si>
  <si>
    <t>0969-9961</t>
  </si>
  <si>
    <t>1074-7427</t>
  </si>
  <si>
    <t>2452-073X</t>
  </si>
  <si>
    <t>2451-9944</t>
  </si>
  <si>
    <t>2352-2895</t>
  </si>
  <si>
    <t>0197-0186</t>
  </si>
  <si>
    <t>0028-3770</t>
  </si>
  <si>
    <t>1130-1473</t>
  </si>
  <si>
    <t>2529-8496</t>
  </si>
  <si>
    <t>0925-2312</t>
  </si>
  <si>
    <t>1053-8119</t>
  </si>
  <si>
    <t>2213-1582</t>
  </si>
  <si>
    <t>2666-9560</t>
  </si>
  <si>
    <t>2667-257X</t>
  </si>
  <si>
    <t>2667-0496</t>
  </si>
  <si>
    <t>0213-4853</t>
  </si>
  <si>
    <t>2173-5808</t>
  </si>
  <si>
    <t>2950-5887</t>
  </si>
  <si>
    <t>1094-7159</t>
  </si>
  <si>
    <t>0960-8966</t>
  </si>
  <si>
    <t>0896-6273</t>
  </si>
  <si>
    <t>0143-4179</t>
  </si>
  <si>
    <t>0028-3908</t>
  </si>
  <si>
    <t>0987-7053</t>
  </si>
  <si>
    <t>0222-9617</t>
  </si>
  <si>
    <t>0028-3932</t>
  </si>
  <si>
    <t>0306-4522</t>
  </si>
  <si>
    <t>0149-7634</t>
  </si>
  <si>
    <t>2772-4085</t>
  </si>
  <si>
    <t>2772-5286</t>
  </si>
  <si>
    <t>0304-3940</t>
  </si>
  <si>
    <t>0168-0102</t>
  </si>
  <si>
    <t>0161-813X</t>
  </si>
  <si>
    <t>0892-0362</t>
  </si>
  <si>
    <t>1384-1076</t>
  </si>
  <si>
    <t>1387-6473</t>
  </si>
  <si>
    <t>1871-6784</t>
  </si>
  <si>
    <t>2949-9526</t>
  </si>
  <si>
    <t>0732-118X</t>
  </si>
  <si>
    <t>2052-2975</t>
  </si>
  <si>
    <t>2664-3294</t>
  </si>
  <si>
    <t>2950-6360</t>
  </si>
  <si>
    <t>3050-7235</t>
  </si>
  <si>
    <t>3050-7243</t>
  </si>
  <si>
    <t>2949-821X</t>
  </si>
  <si>
    <t>2949-8228</t>
  </si>
  <si>
    <t>2949-8295</t>
  </si>
  <si>
    <t>3050-4759</t>
  </si>
  <si>
    <t>2949-8236</t>
  </si>
  <si>
    <t>2950-1601</t>
  </si>
  <si>
    <t>2352-3646</t>
  </si>
  <si>
    <t>1089-8603</t>
  </si>
  <si>
    <t>2468-0540</t>
  </si>
  <si>
    <t>0362-546X</t>
  </si>
  <si>
    <t>1751-570X</t>
  </si>
  <si>
    <t>1468-1218</t>
  </si>
  <si>
    <t>3050-5178</t>
  </si>
  <si>
    <t>2666-5484</t>
  </si>
  <si>
    <t>1627-4830</t>
  </si>
  <si>
    <t>2773-1839</t>
  </si>
  <si>
    <t>2405-6014</t>
  </si>
  <si>
    <t>0090-3752</t>
  </si>
  <si>
    <t>0029-5493</t>
  </si>
  <si>
    <t>1738-5733</t>
  </si>
  <si>
    <t>0168-583X</t>
  </si>
  <si>
    <t>2352-1791</t>
  </si>
  <si>
    <t>0969-8051</t>
  </si>
  <si>
    <t>0375-9474</t>
  </si>
  <si>
    <t>0550-3213</t>
  </si>
  <si>
    <t>1471-5953</t>
  </si>
  <si>
    <t>0260-6917</t>
  </si>
  <si>
    <t>1541-4612</t>
  </si>
  <si>
    <t>1751-4851</t>
  </si>
  <si>
    <t>0029-6554</t>
  </si>
  <si>
    <t>0899-9007</t>
  </si>
  <si>
    <t>0985-0562</t>
  </si>
  <si>
    <t>0271-5317</t>
  </si>
  <si>
    <t>3051-1569</t>
  </si>
  <si>
    <t>2451-8476</t>
  </si>
  <si>
    <t>2667-3681</t>
  </si>
  <si>
    <t>1871-403X</t>
  </si>
  <si>
    <t>0964-5691</t>
  </si>
  <si>
    <t>0029-8018</t>
  </si>
  <si>
    <t>1463-5003</t>
  </si>
  <si>
    <t>0078-3234</t>
  </si>
  <si>
    <t>2949-7817</t>
  </si>
  <si>
    <t>2096-2428</t>
  </si>
  <si>
    <t>0305-0483</t>
  </si>
  <si>
    <t>2590-3322</t>
  </si>
  <si>
    <t>2352-7714</t>
  </si>
  <si>
    <t>2468-6964</t>
  </si>
  <si>
    <t>2666-5395</t>
  </si>
  <si>
    <t>2659-6636</t>
  </si>
  <si>
    <t>2352-9520</t>
  </si>
  <si>
    <t>3050-7847</t>
  </si>
  <si>
    <t>396900"</t>
  </si>
  <si>
    <t>0167-6377</t>
  </si>
  <si>
    <t>2214-7160</t>
  </si>
  <si>
    <t>1048-6666</t>
  </si>
  <si>
    <t>1043-1810</t>
  </si>
  <si>
    <t>1060-1872</t>
  </si>
  <si>
    <t>1522-2942</t>
  </si>
  <si>
    <t>0161-6420</t>
  </si>
  <si>
    <t>2589-4196</t>
  </si>
  <si>
    <t>2468-6530</t>
  </si>
  <si>
    <t>2666-9145</t>
  </si>
  <si>
    <t>1068-5200</t>
  </si>
  <si>
    <t>0925-3467</t>
  </si>
  <si>
    <t>2590-1478</t>
  </si>
  <si>
    <t>1573-4277</t>
  </si>
  <si>
    <t>0030-3992</t>
  </si>
  <si>
    <t>0143-8166</t>
  </si>
  <si>
    <t>0030-4018</t>
  </si>
  <si>
    <t>0030-4026</t>
  </si>
  <si>
    <t>2214-5419</t>
  </si>
  <si>
    <t>1368-8375</t>
  </si>
  <si>
    <t>2772-9060</t>
  </si>
  <si>
    <t>0030-4387</t>
  </si>
  <si>
    <t>2666-2612</t>
  </si>
  <si>
    <t>0169-1368</t>
  </si>
  <si>
    <t>1566-1199</t>
  </si>
  <si>
    <t>0146-6380</t>
  </si>
  <si>
    <t>0749-5978</t>
  </si>
  <si>
    <t>0090-2616</t>
  </si>
  <si>
    <t>2666-1020</t>
  </si>
  <si>
    <t>1877-0568</t>
  </si>
  <si>
    <t>2666-769X</t>
  </si>
  <si>
    <t>1063-4584</t>
  </si>
  <si>
    <t>2665-9131</t>
  </si>
  <si>
    <t>2772-6541</t>
  </si>
  <si>
    <t>1615-9071</t>
  </si>
  <si>
    <t>2405-5255</t>
  </si>
  <si>
    <t>2468-5488</t>
  </si>
  <si>
    <t>0927-538X</t>
  </si>
  <si>
    <t>1526-0542</t>
  </si>
  <si>
    <t>1524-9042</t>
  </si>
  <si>
    <t>1871-174X</t>
  </si>
  <si>
    <t>1424-3903</t>
  </si>
  <si>
    <t>1056-8190</t>
  </si>
  <si>
    <t>0167-8191</t>
  </si>
  <si>
    <t>2405-6731</t>
  </si>
  <si>
    <t>1383-5769</t>
  </si>
  <si>
    <t>1353-8020</t>
  </si>
  <si>
    <t>2666-8181</t>
  </si>
  <si>
    <t>1674-2001</t>
  </si>
  <si>
    <t>0031-3025</t>
  </si>
  <si>
    <t>0344-0338</t>
  </si>
  <si>
    <t>0738-3991</t>
  </si>
  <si>
    <t>0031-3203</t>
  </si>
  <si>
    <t>0167-8655</t>
  </si>
  <si>
    <t>2666-3899</t>
  </si>
  <si>
    <t>2950-6425</t>
  </si>
  <si>
    <t>2772-6282</t>
  </si>
  <si>
    <t>0917-2394</t>
  </si>
  <si>
    <t>2468-1245</t>
  </si>
  <si>
    <t>0887-8994</t>
  </si>
  <si>
    <t>1875-9572</t>
  </si>
  <si>
    <t>0031-4056</t>
  </si>
  <si>
    <t>0196-9781</t>
  </si>
  <si>
    <t>2588-932X</t>
  </si>
  <si>
    <t>2211-2669</t>
  </si>
  <si>
    <t>0166-5316</t>
  </si>
  <si>
    <t>2405-6030</t>
  </si>
  <si>
    <t>0191-8869</t>
  </si>
  <si>
    <t>2468-1717</t>
  </si>
  <si>
    <t>2950-2675</t>
  </si>
  <si>
    <t>2530-0644</t>
  </si>
  <si>
    <t>1574-1192</t>
  </si>
  <si>
    <t>0048-3575</t>
  </si>
  <si>
    <t>2405-6561</t>
  </si>
  <si>
    <t>1876-3804</t>
  </si>
  <si>
    <t>2096-2495</t>
  </si>
  <si>
    <t>1995-8226</t>
  </si>
  <si>
    <t>2773-2169</t>
  </si>
  <si>
    <t>2950-2667</t>
  </si>
  <si>
    <t>1043-6618</t>
  </si>
  <si>
    <t>2667-1425</t>
  </si>
  <si>
    <t>2950-1997</t>
  </si>
  <si>
    <t>2950-2004</t>
  </si>
  <si>
    <t>0031-6997</t>
  </si>
  <si>
    <t>0163-7258</t>
  </si>
  <si>
    <t>0091-3057</t>
  </si>
  <si>
    <t>2213-4344</t>
  </si>
  <si>
    <t>2213-5979</t>
  </si>
  <si>
    <t>1572-1000</t>
  </si>
  <si>
    <t>1569-4410</t>
  </si>
  <si>
    <t>0378-4371</t>
  </si>
  <si>
    <t>0921-4526</t>
  </si>
  <si>
    <t>0921-4534</t>
  </si>
  <si>
    <t>0167-2789</t>
  </si>
  <si>
    <t>1386-9477</t>
  </si>
  <si>
    <t>1120-1797</t>
  </si>
  <si>
    <t>1874-4907</t>
  </si>
  <si>
    <t>1466-853X</t>
  </si>
  <si>
    <t>2405-6316</t>
  </si>
  <si>
    <t>0375-9601</t>
  </si>
  <si>
    <t>0370-2693</t>
  </si>
  <si>
    <t>1571-0645</t>
  </si>
  <si>
    <t>2212-6864</t>
  </si>
  <si>
    <t>0031-9201</t>
  </si>
  <si>
    <t>2666-0326</t>
  </si>
  <si>
    <t>0370-1573</t>
  </si>
  <si>
    <t>0885-5765</t>
  </si>
  <si>
    <t>0031-9384</t>
  </si>
  <si>
    <t>0031-9406</t>
  </si>
  <si>
    <t>0031-9422</t>
  </si>
  <si>
    <t>1874-3900</t>
  </si>
  <si>
    <t>0944-7113</t>
  </si>
  <si>
    <t>2667-0313</t>
  </si>
  <si>
    <t>0213-9251</t>
  </si>
  <si>
    <t>0143-4004</t>
  </si>
  <si>
    <t>0032-0633</t>
  </si>
  <si>
    <t>2590-3462</t>
  </si>
  <si>
    <t>2468-2659</t>
  </si>
  <si>
    <t>2352-4073</t>
  </si>
  <si>
    <t>2773-1111</t>
  </si>
  <si>
    <t>2643-6515</t>
  </si>
  <si>
    <t>0981-9428</t>
  </si>
  <si>
    <t>0168-9452</t>
  </si>
  <si>
    <t>2667-064X</t>
  </si>
  <si>
    <t>0147-619X</t>
  </si>
  <si>
    <t>0304-422X</t>
  </si>
  <si>
    <t>1873-9652</t>
  </si>
  <si>
    <t>0962-6298</t>
  </si>
  <si>
    <t>2772-9990</t>
  </si>
  <si>
    <t>0277-5387</t>
  </si>
  <si>
    <t>0032-3861</t>
  </si>
  <si>
    <t>0141-3910</t>
  </si>
  <si>
    <t>0142-9418</t>
  </si>
  <si>
    <t>0925-5214</t>
  </si>
  <si>
    <t>0032-5791</t>
  </si>
  <si>
    <t>0032-5910</t>
  </si>
  <si>
    <t>2772-3704</t>
  </si>
  <si>
    <t>2352-5517</t>
  </si>
  <si>
    <t>1879-8500</t>
  </si>
  <si>
    <t>1878-7762</t>
  </si>
  <si>
    <t>1269-1763</t>
  </si>
  <si>
    <t>0301-9268</t>
  </si>
  <si>
    <t>0141-6359</t>
  </si>
  <si>
    <t>3050-6557</t>
  </si>
  <si>
    <t>2950-5232</t>
  </si>
  <si>
    <t>2950-4821</t>
  </si>
  <si>
    <t>2210-7789</t>
  </si>
  <si>
    <t>0091-7435</t>
  </si>
  <si>
    <t>2211-3355</t>
  </si>
  <si>
    <t>0167-5877</t>
  </si>
  <si>
    <t>1751-9918</t>
  </si>
  <si>
    <t>0266-8920</t>
  </si>
  <si>
    <t>2212-8271</t>
  </si>
  <si>
    <t>1877-0509</t>
  </si>
  <si>
    <t>2452-3216</t>
  </si>
  <si>
    <t>1540-7489</t>
  </si>
  <si>
    <t>0016-7878</t>
  </si>
  <si>
    <t>1359-5113</t>
  </si>
  <si>
    <t>0957-5820</t>
  </si>
  <si>
    <t>0376-0421</t>
  </si>
  <si>
    <t>0079-6107</t>
  </si>
  <si>
    <t>0033-0620</t>
  </si>
  <si>
    <t>2590-0617</t>
  </si>
  <si>
    <t>2949-6942</t>
  </si>
  <si>
    <t>0360-1285</t>
  </si>
  <si>
    <t>2950-4252</t>
  </si>
  <si>
    <t>0163-7827</t>
  </si>
  <si>
    <t>0079-6425</t>
  </si>
  <si>
    <t>1002-0071</t>
  </si>
  <si>
    <t>0278-5846</t>
  </si>
  <si>
    <t>0301-0082</t>
  </si>
  <si>
    <t>0149-1970</t>
  </si>
  <si>
    <t>0079-6565</t>
  </si>
  <si>
    <t>0079-6611</t>
  </si>
  <si>
    <t>0300-9440</t>
  </si>
  <si>
    <t>0146-6410</t>
  </si>
  <si>
    <t>1058-9813</t>
  </si>
  <si>
    <t>0305-9006</t>
  </si>
  <si>
    <t>0079-6700</t>
  </si>
  <si>
    <t>0079-6727</t>
  </si>
  <si>
    <t>1350-9462</t>
  </si>
  <si>
    <t>0079-6816</t>
  </si>
  <si>
    <t>2666-7215</t>
  </si>
  <si>
    <t>2212-540X</t>
  </si>
  <si>
    <t>1098-8823</t>
  </si>
  <si>
    <t>2287-8882</t>
  </si>
  <si>
    <t>1046-5928</t>
  </si>
  <si>
    <t>1434-4610</t>
  </si>
  <si>
    <t>1134-5934</t>
  </si>
  <si>
    <t>2950-4848</t>
  </si>
  <si>
    <t>0165-1781</t>
  </si>
  <si>
    <t>2773-0212</t>
  </si>
  <si>
    <t>2772-5987</t>
  </si>
  <si>
    <t>0925-4927</t>
  </si>
  <si>
    <t>1420-2530</t>
  </si>
  <si>
    <t>1469-0292</t>
  </si>
  <si>
    <t>0306-4530</t>
  </si>
  <si>
    <t>0033-3506</t>
  </si>
  <si>
    <t>2666-5352</t>
  </si>
  <si>
    <t>0363-8111</t>
  </si>
  <si>
    <t>1094-5539</t>
  </si>
  <si>
    <t>2531-0437</t>
  </si>
  <si>
    <t>2532-2044</t>
  </si>
  <si>
    <t>3050-4910</t>
  </si>
  <si>
    <t>2950-2365</t>
  </si>
  <si>
    <t>1871-1014</t>
  </si>
  <si>
    <t>1040-6182</t>
  </si>
  <si>
    <t>2666-0334</t>
  </si>
  <si>
    <t>0277-3791</t>
  </si>
  <si>
    <t>1350-4487</t>
  </si>
  <si>
    <t>2666-5557</t>
  </si>
  <si>
    <t>0969-806X</t>
  </si>
  <si>
    <t>1078-8174</t>
  </si>
  <si>
    <t>1930-0433</t>
  </si>
  <si>
    <t>0033-8338</t>
  </si>
  <si>
    <t>2173-5107</t>
  </si>
  <si>
    <t>0167-8140</t>
  </si>
  <si>
    <t>1550-7424</t>
  </si>
  <si>
    <t>0190-0528</t>
  </si>
  <si>
    <t>2950-0087</t>
  </si>
  <si>
    <t>1381-5148</t>
  </si>
  <si>
    <t>2605-1532</t>
  </si>
  <si>
    <t>2773-1766</t>
  </si>
  <si>
    <t>2213-2317</t>
  </si>
  <si>
    <t>2352-3204</t>
  </si>
  <si>
    <t>2950-5755</t>
  </si>
  <si>
    <t>0166-0462</t>
  </si>
  <si>
    <t>1757-7802</t>
  </si>
  <si>
    <t>2352-4855</t>
  </si>
  <si>
    <t>2666-660X</t>
  </si>
  <si>
    <t>0273-2300</t>
  </si>
  <si>
    <t>0048-7120</t>
  </si>
  <si>
    <t>0951-8320</t>
  </si>
  <si>
    <t>2352-9385</t>
  </si>
  <si>
    <t>0034-4257</t>
  </si>
  <si>
    <t>1364-0321</t>
  </si>
  <si>
    <t>2667-095X</t>
  </si>
  <si>
    <t>0960-1481</t>
  </si>
  <si>
    <t>1755-0084</t>
  </si>
  <si>
    <t>2950-208X</t>
  </si>
  <si>
    <t>2667-0712</t>
  </si>
  <si>
    <t>1642-431X</t>
  </si>
  <si>
    <t>1472-6483</t>
  </si>
  <si>
    <t>0890-6238</t>
  </si>
  <si>
    <t>2475-0379</t>
  </si>
  <si>
    <t>3050-6565</t>
  </si>
  <si>
    <t>2097-1583</t>
  </si>
  <si>
    <t>0891-4222</t>
  </si>
  <si>
    <t>2772-6525</t>
  </si>
  <si>
    <t>1090-9443</t>
  </si>
  <si>
    <t>2590-051X</t>
  </si>
  <si>
    <t>0275-5319</t>
  </si>
  <si>
    <t>0923-2508</t>
  </si>
  <si>
    <t>3050-5798</t>
  </si>
  <si>
    <t>0191-3085</t>
  </si>
  <si>
    <t>1551-7411</t>
  </si>
  <si>
    <t>0276-5624</t>
  </si>
  <si>
    <t>2210-5395</t>
  </si>
  <si>
    <t>0739-8859</t>
  </si>
  <si>
    <t>0034-5288</t>
  </si>
  <si>
    <t>2772-7661</t>
  </si>
  <si>
    <t>0048-7333</t>
  </si>
  <si>
    <t>2772-7416</t>
  </si>
  <si>
    <t>0928-7655</t>
  </si>
  <si>
    <t>2772-4433</t>
  </si>
  <si>
    <t>0301-4207</t>
  </si>
  <si>
    <t>2212-5345</t>
  </si>
  <si>
    <t>0954-6111</t>
  </si>
  <si>
    <t>2590-0412</t>
  </si>
  <si>
    <t>2213-0071</t>
  </si>
  <si>
    <t>1569-9048</t>
  </si>
  <si>
    <t>2590-0374</t>
  </si>
  <si>
    <t>2211-7156</t>
  </si>
  <si>
    <t>2666-7207</t>
  </si>
  <si>
    <t>2211-7148</t>
  </si>
  <si>
    <t>2590-1230</t>
  </si>
  <si>
    <t>2666-2779</t>
  </si>
  <si>
    <t>2666-8289</t>
  </si>
  <si>
    <t>2590-048X</t>
  </si>
  <si>
    <t>2666-9501</t>
  </si>
  <si>
    <t>2211-3797</t>
  </si>
  <si>
    <t>2666-8459</t>
  </si>
  <si>
    <t>0300-9572</t>
  </si>
  <si>
    <t>2666-5204</t>
  </si>
  <si>
    <t>1699-258X</t>
  </si>
  <si>
    <t>2173-5743</t>
  </si>
  <si>
    <t>1094-2025</t>
  </si>
  <si>
    <t>3050-9130</t>
  </si>
  <si>
    <t>0034-6667</t>
  </si>
  <si>
    <t>2405-4283</t>
  </si>
  <si>
    <t>0325-7541</t>
  </si>
  <si>
    <t>0014-2565</t>
  </si>
  <si>
    <t>2254-8874</t>
  </si>
  <si>
    <t>0121-8123</t>
  </si>
  <si>
    <t>2444-4405</t>
  </si>
  <si>
    <t>0375-0906</t>
  </si>
  <si>
    <t>2255-534X</t>
  </si>
  <si>
    <t>0034-8376</t>
  </si>
  <si>
    <t>1136-1034</t>
  </si>
  <si>
    <t>2530-3805</t>
  </si>
  <si>
    <t>0214-1582</t>
  </si>
  <si>
    <t>0034-9356</t>
  </si>
  <si>
    <t>2341-1929</t>
  </si>
  <si>
    <t>0300-8932</t>
  </si>
  <si>
    <t>1885-5857</t>
  </si>
  <si>
    <t>1888-4415</t>
  </si>
  <si>
    <t>0211-139X</t>
  </si>
  <si>
    <t>0377-4732</t>
  </si>
  <si>
    <t>2253-654X</t>
  </si>
  <si>
    <t>2253-8089</t>
  </si>
  <si>
    <t>1699-8855</t>
  </si>
  <si>
    <t>1130-1406</t>
  </si>
  <si>
    <t>1887-8369</t>
  </si>
  <si>
    <t>1698-031X</t>
  </si>
  <si>
    <t>0716-8640</t>
  </si>
  <si>
    <t>0870-2551</t>
  </si>
  <si>
    <t>1877-0517</t>
  </si>
  <si>
    <t>0035-1598</t>
  </si>
  <si>
    <t>1169-8330</t>
  </si>
  <si>
    <t>1877-0320</t>
  </si>
  <si>
    <t>0035-3787</t>
  </si>
  <si>
    <t>2452-2198</t>
  </si>
  <si>
    <t>1672-6308</t>
  </si>
  <si>
    <t>2950-6298</t>
  </si>
  <si>
    <t>0921-8890</t>
  </si>
  <si>
    <t>0736-5845</t>
  </si>
  <si>
    <t>2773-2304</t>
  </si>
  <si>
    <t>2093-7911</t>
  </si>
  <si>
    <t>0925-7535</t>
  </si>
  <si>
    <t>1637-4088</t>
  </si>
  <si>
    <t>2772-9710</t>
  </si>
  <si>
    <t>1319-562X</t>
  </si>
  <si>
    <t>1319-0164</t>
  </si>
  <si>
    <t>0956-5221</t>
  </si>
  <si>
    <t>0920-9964</t>
  </si>
  <si>
    <t>2215-0013</t>
  </si>
  <si>
    <t>1355-0306</t>
  </si>
  <si>
    <t>0765-1597</t>
  </si>
  <si>
    <t>2095-9273</t>
  </si>
  <si>
    <t>2949-7043</t>
  </si>
  <si>
    <t>0167-6423</t>
  </si>
  <si>
    <t>2666-0172</t>
  </si>
  <si>
    <t>0048-9697</t>
  </si>
  <si>
    <t>2772-5693</t>
  </si>
  <si>
    <t>0304-4238</t>
  </si>
  <si>
    <t>2468-2276</t>
  </si>
  <si>
    <t>1359-6462</t>
  </si>
  <si>
    <t>0037-0738</t>
  </si>
  <si>
    <t>1059-1311</t>
  </si>
  <si>
    <t>0049-0172</t>
  </si>
  <si>
    <t>1045-4527</t>
  </si>
  <si>
    <t>1044-579X</t>
  </si>
  <si>
    <t>1084-9521</t>
  </si>
  <si>
    <t>1043-1489</t>
  </si>
  <si>
    <t>0740-2570</t>
  </si>
  <si>
    <t>1744-165X</t>
  </si>
  <si>
    <t>0037-1963</t>
  </si>
  <si>
    <t>1044-5323</t>
  </si>
  <si>
    <t>0270-9295</t>
  </si>
  <si>
    <t>0001-2998</t>
  </si>
  <si>
    <t>0093-7754</t>
  </si>
  <si>
    <t>0749-2081</t>
  </si>
  <si>
    <t>1073-8746</t>
  </si>
  <si>
    <t>1071-9091</t>
  </si>
  <si>
    <t>1055-8586</t>
  </si>
  <si>
    <t>0146-0005</t>
  </si>
  <si>
    <t>1053-4296</t>
  </si>
  <si>
    <t>0037-198X</t>
  </si>
  <si>
    <t>1040-7383</t>
  </si>
  <si>
    <t>1043-0679</t>
  </si>
  <si>
    <t>1092-9126</t>
  </si>
  <si>
    <t>0895-7967</t>
  </si>
  <si>
    <t>2214-1804</t>
  </si>
  <si>
    <t>0924-4247</t>
  </si>
  <si>
    <t>0925-4005</t>
  </si>
  <si>
    <t>2666-0539</t>
  </si>
  <si>
    <t>2666-3511</t>
  </si>
  <si>
    <t>1383-5866</t>
  </si>
  <si>
    <t>1877-5756</t>
  </si>
  <si>
    <t>2050-1161</t>
  </si>
  <si>
    <t>2050-0521</t>
  </si>
  <si>
    <t>0165-1684</t>
  </si>
  <si>
    <t>0923-5965</t>
  </si>
  <si>
    <t>1569-190X</t>
  </si>
  <si>
    <t>2472-5552</t>
  </si>
  <si>
    <t>2472-6303</t>
  </si>
  <si>
    <t>2950-3965</t>
  </si>
  <si>
    <t>2667-3436</t>
  </si>
  <si>
    <t>2352-7218</t>
  </si>
  <si>
    <t>1389-9457</t>
  </si>
  <si>
    <t>1087-0792</t>
  </si>
  <si>
    <t>2590-1427</t>
  </si>
  <si>
    <t>0921-4488</t>
  </si>
  <si>
    <t>2772-3755</t>
  </si>
  <si>
    <t>2666-9552</t>
  </si>
  <si>
    <t>2352-6483</t>
  </si>
  <si>
    <t>2772-8102</t>
  </si>
  <si>
    <t>2590-1834</t>
  </si>
  <si>
    <t>2949-8414</t>
  </si>
  <si>
    <t>3050-614X</t>
  </si>
  <si>
    <t>0378-8733</t>
  </si>
  <si>
    <t>0277-9536</t>
  </si>
  <si>
    <t>0049-089X</t>
  </si>
  <si>
    <t>2590-2911</t>
  </si>
  <si>
    <t>2949-6977</t>
  </si>
  <si>
    <t>0038-0121</t>
  </si>
  <si>
    <t>2665-9638</t>
  </si>
  <si>
    <t>2352-7110</t>
  </si>
  <si>
    <t>2949-9194</t>
  </si>
  <si>
    <t>0167-1987</t>
  </si>
  <si>
    <t>2950-2896</t>
  </si>
  <si>
    <t>0038-0717</t>
  </si>
  <si>
    <t>0267-7261</t>
  </si>
  <si>
    <t>2667-0062</t>
  </si>
  <si>
    <t>0038-0806</t>
  </si>
  <si>
    <t>2772-9400</t>
  </si>
  <si>
    <t>0038-092X</t>
  </si>
  <si>
    <t>2667-1131</t>
  </si>
  <si>
    <t>0927-0248</t>
  </si>
  <si>
    <t>2451-912X</t>
  </si>
  <si>
    <t>0038-1098</t>
  </si>
  <si>
    <t>2589-2088</t>
  </si>
  <si>
    <t>0167-2738</t>
  </si>
  <si>
    <t>0926-2040</t>
  </si>
  <si>
    <t>1293-2558</t>
  </si>
  <si>
    <t>0038-1101</t>
  </si>
  <si>
    <t>0254-6299</t>
  </si>
  <si>
    <t>1026-9185</t>
  </si>
  <si>
    <t>2950-6166</t>
  </si>
  <si>
    <t>0265-9646</t>
  </si>
  <si>
    <t>2950-1040</t>
  </si>
  <si>
    <t>2445-4249</t>
  </si>
  <si>
    <t>2950-2853</t>
  </si>
  <si>
    <t>1877-5845</t>
  </si>
  <si>
    <t>2211-6753</t>
  </si>
  <si>
    <t>1386-1425</t>
  </si>
  <si>
    <t>0584-8547</t>
  </si>
  <si>
    <t>0167-6393</t>
  </si>
  <si>
    <t>2773-1618</t>
  </si>
  <si>
    <t>2666-3376</t>
  </si>
  <si>
    <t>0949-328X</t>
  </si>
  <si>
    <t>2949-8562</t>
  </si>
  <si>
    <t>2666-5603</t>
  </si>
  <si>
    <t>2352-8273</t>
  </si>
  <si>
    <t>2667-3215</t>
  </si>
  <si>
    <t>2666-1667</t>
  </si>
  <si>
    <t>0167-7152</t>
  </si>
  <si>
    <t>2213-6711</t>
  </si>
  <si>
    <t>1873-5061</t>
  </si>
  <si>
    <t>0039-128X</t>
  </si>
  <si>
    <t>0304-4149</t>
  </si>
  <si>
    <t>3051-0643</t>
  </si>
  <si>
    <t>0954-349X</t>
  </si>
  <si>
    <t>2474-8706</t>
  </si>
  <si>
    <t>0167-4730</t>
  </si>
  <si>
    <t>0969-2126</t>
  </si>
  <si>
    <t>2352-0124</t>
  </si>
  <si>
    <t>0191-491X</t>
  </si>
  <si>
    <t>0039-3681</t>
  </si>
  <si>
    <t>2772-8307</t>
  </si>
  <si>
    <t>2949-8635</t>
  </si>
  <si>
    <t>2667-2405</t>
  </si>
  <si>
    <t>0257-8972</t>
  </si>
  <si>
    <t>0039-6028</t>
  </si>
  <si>
    <t>0167-5729</t>
  </si>
  <si>
    <t>2468-0230</t>
  </si>
  <si>
    <t>0039-6060</t>
  </si>
  <si>
    <t>2950-1032</t>
  </si>
  <si>
    <t>1550-7289</t>
  </si>
  <si>
    <t>2666-2620</t>
  </si>
  <si>
    <t>2667-0089</t>
  </si>
  <si>
    <t>2589-8450</t>
  </si>
  <si>
    <t>0960-7404</t>
  </si>
  <si>
    <t>2950-2470</t>
  </si>
  <si>
    <t>0039-6257</t>
  </si>
  <si>
    <t>2667-2596</t>
  </si>
  <si>
    <t>2352-5541</t>
  </si>
  <si>
    <t>3050-6212</t>
  </si>
  <si>
    <t>2772-8269</t>
  </si>
  <si>
    <t>2950-4775</t>
  </si>
  <si>
    <t>2949-8392</t>
  </si>
  <si>
    <t>2950-3574</t>
  </si>
  <si>
    <t>2210-6707</t>
  </si>
  <si>
    <t>3051-052X</t>
  </si>
  <si>
    <t>2210-5379</t>
  </si>
  <si>
    <t>2213-1388</t>
  </si>
  <si>
    <t>2666-1888</t>
  </si>
  <si>
    <t>2772-7378</t>
  </si>
  <si>
    <t>2667-3444</t>
  </si>
  <si>
    <t>2214-9937</t>
  </si>
  <si>
    <t>2666-4127</t>
  </si>
  <si>
    <t>2352-5509</t>
  </si>
  <si>
    <t>2773-0328</t>
  </si>
  <si>
    <t>2210-6502</t>
  </si>
  <si>
    <t>2405-805X</t>
  </si>
  <si>
    <t>0379-6779</t>
  </si>
  <si>
    <t>0346-251X</t>
  </si>
  <si>
    <t>0723-2020</t>
  </si>
  <si>
    <t>0167-6911</t>
  </si>
  <si>
    <t>2772-9419</t>
  </si>
  <si>
    <t>1028-4559</t>
  </si>
  <si>
    <t>0039-9140</t>
  </si>
  <si>
    <t>2666-8319</t>
  </si>
  <si>
    <t>3050-5283</t>
  </si>
  <si>
    <t>1557-3087</t>
  </si>
  <si>
    <t>0742-051X</t>
  </si>
  <si>
    <t>2667-3207</t>
  </si>
  <si>
    <t>2405-6324</t>
  </si>
  <si>
    <t>2590-0307</t>
  </si>
  <si>
    <t>1089-2516</t>
  </si>
  <si>
    <t>0040-1625</t>
  </si>
  <si>
    <t>0160-791X</t>
  </si>
  <si>
    <t>0166-4972</t>
  </si>
  <si>
    <t>0040-1951</t>
  </si>
  <si>
    <t>0308-5961</t>
  </si>
  <si>
    <t>0736-5853</t>
  </si>
  <si>
    <t>2772-5030</t>
  </si>
  <si>
    <t>0040-4020</t>
  </si>
  <si>
    <t>2666-951X</t>
  </si>
  <si>
    <t>2773-2231</t>
  </si>
  <si>
    <t>0040-4039</t>
  </si>
  <si>
    <t>0002-9149</t>
  </si>
  <si>
    <t>0002-9165</t>
  </si>
  <si>
    <t>1064-7481</t>
  </si>
  <si>
    <t>0002-9297</t>
  </si>
  <si>
    <t>0002-9343</t>
  </si>
  <si>
    <t>0002-9440</t>
  </si>
  <si>
    <t>0002-9610</t>
  </si>
  <si>
    <t>0002-9629</t>
  </si>
  <si>
    <t>0003-4975</t>
  </si>
  <si>
    <t>0197-4556</t>
  </si>
  <si>
    <t>2092-5212</t>
  </si>
  <si>
    <t>1413-8670</t>
  </si>
  <si>
    <t>0960-9776</t>
  </si>
  <si>
    <t>0890-8389</t>
  </si>
  <si>
    <t>2468-2330</t>
  </si>
  <si>
    <t>2214-5141</t>
  </si>
  <si>
    <t>1110-9823</t>
  </si>
  <si>
    <t>1110-1164</t>
  </si>
  <si>
    <t>1040-6190</t>
  </si>
  <si>
    <t>0213-6163</t>
  </si>
  <si>
    <t>2214-790X</t>
  </si>
  <si>
    <t>0958-2592</t>
  </si>
  <si>
    <t>2950-3930</t>
  </si>
  <si>
    <t>2666-6758</t>
  </si>
  <si>
    <t>1357-2725</t>
  </si>
  <si>
    <t>1472-8117</t>
  </si>
  <si>
    <t>1096-7516</t>
  </si>
  <si>
    <t>1553-7250</t>
  </si>
  <si>
    <t>1555-4155</t>
  </si>
  <si>
    <t>0099-1333</t>
  </si>
  <si>
    <t>2534-773X</t>
  </si>
  <si>
    <t>2213-2198</t>
  </si>
  <si>
    <t>0021-9614</t>
  </si>
  <si>
    <t>2667-2782</t>
  </si>
  <si>
    <t>1703-4949</t>
  </si>
  <si>
    <t>0736-4679</t>
  </si>
  <si>
    <t>2405-9188</t>
  </si>
  <si>
    <t>1067-2516</t>
  </si>
  <si>
    <t>2260-1341</t>
  </si>
  <si>
    <t>0363-5023</t>
  </si>
  <si>
    <t>1053-2498</t>
  </si>
  <si>
    <t>3050-7901</t>
  </si>
  <si>
    <t>2950-1954</t>
  </si>
  <si>
    <t>0732-3123</t>
  </si>
  <si>
    <t>1525-1578</t>
  </si>
  <si>
    <t>0022-3166</t>
  </si>
  <si>
    <t>0955-2863</t>
  </si>
  <si>
    <t>3050-6247</t>
  </si>
  <si>
    <t>1526-5900</t>
  </si>
  <si>
    <t>0022-3476</t>
  </si>
  <si>
    <t>2950-5410</t>
  </si>
  <si>
    <t>0022-3565</t>
  </si>
  <si>
    <t>1880-6546</t>
  </si>
  <si>
    <t>3050-6328</t>
  </si>
  <si>
    <t>2274-5807</t>
  </si>
  <si>
    <t>1743-6095</t>
  </si>
  <si>
    <t>0960-0760</t>
  </si>
  <si>
    <t>0963-8687</t>
  </si>
  <si>
    <t>0896-8446</t>
  </si>
  <si>
    <t>0002-8177</t>
  </si>
  <si>
    <t>2212-828X</t>
  </si>
  <si>
    <t>0022-5223</t>
  </si>
  <si>
    <t>0968-0160</t>
  </si>
  <si>
    <t>0140-6736</t>
  </si>
  <si>
    <t>2352-4642</t>
  </si>
  <si>
    <t>2213-8587</t>
  </si>
  <si>
    <t>2589-7500</t>
  </si>
  <si>
    <t>2468-1253</t>
  </si>
  <si>
    <t>2214-109X</t>
  </si>
  <si>
    <t>2352-3026</t>
  </si>
  <si>
    <t>2666-7568</t>
  </si>
  <si>
    <t>2352-3018</t>
  </si>
  <si>
    <t>1473-3099</t>
  </si>
  <si>
    <t>2666-5247</t>
  </si>
  <si>
    <t>1474-4422</t>
  </si>
  <si>
    <t>1470-2045</t>
  </si>
  <si>
    <t>2542-5196</t>
  </si>
  <si>
    <t>3050-5143</t>
  </si>
  <si>
    <t>2215-0366</t>
  </si>
  <si>
    <t>2468-2667</t>
  </si>
  <si>
    <t>2667-193X</t>
  </si>
  <si>
    <t>2666-7762</t>
  </si>
  <si>
    <t>2772-3682</t>
  </si>
  <si>
    <t>2666-6065</t>
  </si>
  <si>
    <t>2213-2600</t>
  </si>
  <si>
    <t>2665-9913</t>
  </si>
  <si>
    <t>1048-9843</t>
  </si>
  <si>
    <t>2950-1946</t>
  </si>
  <si>
    <t>1062-9408</t>
  </si>
  <si>
    <t>1542-0124</t>
  </si>
  <si>
    <t>1062-9769</t>
  </si>
  <si>
    <t>1013-9052</t>
  </si>
  <si>
    <t>1529-9430</t>
  </si>
  <si>
    <t>1479-666X</t>
  </si>
  <si>
    <t>1090-0233</t>
  </si>
  <si>
    <t>0167-8442</t>
  </si>
  <si>
    <t>2095-0349</t>
  </si>
  <si>
    <t>0304-3975</t>
  </si>
  <si>
    <t>0040-5809</t>
  </si>
  <si>
    <t>0040-5957</t>
  </si>
  <si>
    <t>0093-691X</t>
  </si>
  <si>
    <t>2773-093X</t>
  </si>
  <si>
    <t>3050-4635</t>
  </si>
  <si>
    <t>2451-9049</t>
  </si>
  <si>
    <t>0040-6031</t>
  </si>
  <si>
    <t>0040-6090</t>
  </si>
  <si>
    <t>0263-8231</t>
  </si>
  <si>
    <t>1871-1871</t>
  </si>
  <si>
    <t>0049-3848</t>
  </si>
  <si>
    <t>2666-5727</t>
  </si>
  <si>
    <t>2950-3000</t>
  </si>
  <si>
    <t>1877-959X</t>
  </si>
  <si>
    <t>0040-8166</t>
  </si>
  <si>
    <t>2949-673X</t>
  </si>
  <si>
    <t>1938-9736</t>
  </si>
  <si>
    <t>0166-8641</t>
  </si>
  <si>
    <t>3050-581X</t>
  </si>
  <si>
    <t>2950-3957</t>
  </si>
  <si>
    <t>2950-631X</t>
  </si>
  <si>
    <t>3050-6417</t>
  </si>
  <si>
    <t>0261-5177</t>
  </si>
  <si>
    <t>2211-9736</t>
  </si>
  <si>
    <t>2352-0078</t>
  </si>
  <si>
    <t>0300-483X</t>
  </si>
  <si>
    <t>0041-008X</t>
  </si>
  <si>
    <t>0887-2333</t>
  </si>
  <si>
    <t>0378-4274</t>
  </si>
  <si>
    <t>2214-7500</t>
  </si>
  <si>
    <t>0041-0101</t>
  </si>
  <si>
    <t>2590-1710</t>
  </si>
  <si>
    <t>3050-9149</t>
  </si>
  <si>
    <t>3050-5291</t>
  </si>
  <si>
    <t>1473-0502</t>
  </si>
  <si>
    <t>1246-7820</t>
  </si>
  <si>
    <t>0887-7963</t>
  </si>
  <si>
    <t>2950-3485</t>
  </si>
  <si>
    <t>2468-5011</t>
  </si>
  <si>
    <t>2588-9303</t>
  </si>
  <si>
    <t>1936-5233</t>
  </si>
  <si>
    <t>1931-5244</t>
  </si>
  <si>
    <t>2214-854X</t>
  </si>
  <si>
    <t>1925-2099</t>
  </si>
  <si>
    <t>0966-3274</t>
  </si>
  <si>
    <t>2666-6367</t>
  </si>
  <si>
    <t>0041-1345</t>
  </si>
  <si>
    <t>2451-9596</t>
  </si>
  <si>
    <t>0955-470X</t>
  </si>
  <si>
    <t>2949-8996</t>
  </si>
  <si>
    <t>0967-070X</t>
  </si>
  <si>
    <t>2666-691X</t>
  </si>
  <si>
    <t>2214-3912</t>
  </si>
  <si>
    <t>2590-1982</t>
  </si>
  <si>
    <t>0965-8564</t>
  </si>
  <si>
    <t>0191-2615</t>
  </si>
  <si>
    <t>0968-090X</t>
  </si>
  <si>
    <t>1361-9209</t>
  </si>
  <si>
    <t>1366-5545</t>
  </si>
  <si>
    <t>1369-8478</t>
  </si>
  <si>
    <t>2352-1465</t>
  </si>
  <si>
    <t>2352-6440</t>
  </si>
  <si>
    <t>2214-367X</t>
  </si>
  <si>
    <t>1477-8939</t>
  </si>
  <si>
    <t>2210-8440</t>
  </si>
  <si>
    <t>0165-9936</t>
  </si>
  <si>
    <t>0968-0004</t>
  </si>
  <si>
    <t>0167-7799</t>
  </si>
  <si>
    <t>2405-8033</t>
  </si>
  <si>
    <t>1050-1738</t>
  </si>
  <si>
    <t>0962-8924</t>
  </si>
  <si>
    <t>2589-5974</t>
  </si>
  <si>
    <t>1364-6613</t>
  </si>
  <si>
    <t>0169-5347</t>
  </si>
  <si>
    <t>1043-2760</t>
  </si>
  <si>
    <t>2214-1588</t>
  </si>
  <si>
    <t>0924-2244</t>
  </si>
  <si>
    <t>0168-9525</t>
  </si>
  <si>
    <t>1471-4906</t>
  </si>
  <si>
    <t>0966-842X</t>
  </si>
  <si>
    <t>1471-4914</t>
  </si>
  <si>
    <t>2211-9493</t>
  </si>
  <si>
    <t>0166-2236</t>
  </si>
  <si>
    <t>1471-4922</t>
  </si>
  <si>
    <t>0165-6147</t>
  </si>
  <si>
    <t>1360-1385</t>
  </si>
  <si>
    <t>0301-679X</t>
  </si>
  <si>
    <t>2950-5100</t>
  </si>
  <si>
    <t>2225-6032</t>
  </si>
  <si>
    <t>1472-9792</t>
  </si>
  <si>
    <t>2666-6790</t>
  </si>
  <si>
    <t>0886-7798</t>
  </si>
  <si>
    <t>0304-3991</t>
  </si>
  <si>
    <t>0041-624X</t>
  </si>
  <si>
    <t>1350-4177</t>
  </si>
  <si>
    <t>0301-5629</t>
  </si>
  <si>
    <t>2666-5190</t>
  </si>
  <si>
    <t>2467-9674</t>
  </si>
  <si>
    <t>2212-0955</t>
  </si>
  <si>
    <t>1618-8667</t>
  </si>
  <si>
    <t>2664-3286</t>
  </si>
  <si>
    <t>3050-6972</t>
  </si>
  <si>
    <t>2590-2806</t>
  </si>
  <si>
    <t>1078-1439</t>
  </si>
  <si>
    <t>0090-4295</t>
  </si>
  <si>
    <t>2214-4420</t>
  </si>
  <si>
    <t>2590-0897</t>
  </si>
  <si>
    <t>0957-1787</t>
  </si>
  <si>
    <t>0264-410X</t>
  </si>
  <si>
    <t>2590-1362</t>
  </si>
  <si>
    <t>1576-9887</t>
  </si>
  <si>
    <t>2445-1460</t>
  </si>
  <si>
    <t>0042-207X</t>
  </si>
  <si>
    <t>1098-3015</t>
  </si>
  <si>
    <t>2212-1099</t>
  </si>
  <si>
    <t>3050-6581</t>
  </si>
  <si>
    <t>1537-1891</t>
  </si>
  <si>
    <t>2214-2096</t>
  </si>
  <si>
    <t>1467-2987</t>
  </si>
  <si>
    <t>2451-943X</t>
  </si>
  <si>
    <t>0165-2427</t>
  </si>
  <si>
    <t>0378-1135</t>
  </si>
  <si>
    <t>0304-4017</t>
  </si>
  <si>
    <t>2405-9390</t>
  </si>
  <si>
    <t>2772-5359</t>
  </si>
  <si>
    <t>0924-2031</t>
  </si>
  <si>
    <t>2468-4481</t>
  </si>
  <si>
    <t>1995-820X</t>
  </si>
  <si>
    <t>0042-6822</t>
  </si>
  <si>
    <t>2096-5796</t>
  </si>
  <si>
    <t>0168-1702</t>
  </si>
  <si>
    <t>0042-6989</t>
  </si>
  <si>
    <t>2468-502X</t>
  </si>
  <si>
    <t>2405-4690</t>
  </si>
  <si>
    <t>0956-053X</t>
  </si>
  <si>
    <t>2949-7507</t>
  </si>
  <si>
    <t>3050-4724</t>
  </si>
  <si>
    <t>2772-7351</t>
  </si>
  <si>
    <t>2666-4453</t>
  </si>
  <si>
    <t>0043-1354</t>
  </si>
  <si>
    <t>2589-9147</t>
  </si>
  <si>
    <t>2212-4284</t>
  </si>
  <si>
    <t>2212-3717</t>
  </si>
  <si>
    <t>1674-2370</t>
  </si>
  <si>
    <t>2468-3124</t>
  </si>
  <si>
    <t>2588-9125</t>
  </si>
  <si>
    <t>2589-4714</t>
  </si>
  <si>
    <t>0165-2125</t>
  </si>
  <si>
    <t>0043-1648</t>
  </si>
  <si>
    <t>2950-2357</t>
  </si>
  <si>
    <t>2212-0947</t>
  </si>
  <si>
    <t>2949-6683</t>
  </si>
  <si>
    <t>2950-3604</t>
  </si>
  <si>
    <t>1871-5192</t>
  </si>
  <si>
    <t>2949-7515</t>
  </si>
  <si>
    <t>1049-3867</t>
  </si>
  <si>
    <t>0277-5395</t>
  </si>
  <si>
    <t>1939-4551</t>
  </si>
  <si>
    <t>0305-750X</t>
  </si>
  <si>
    <t>2452-2929</t>
  </si>
  <si>
    <t>1003-5257</t>
  </si>
  <si>
    <t>1878-8750</t>
  </si>
  <si>
    <t>2590-1397</t>
  </si>
  <si>
    <t>0172-2190</t>
  </si>
  <si>
    <t>0939-3889</t>
  </si>
  <si>
    <t>0044-5231</t>
  </si>
  <si>
    <t>0944-2006</t>
  </si>
  <si>
    <t>NOTES:</t>
  </si>
  <si>
    <t>* The list price is the full-length article price.</t>
  </si>
  <si>
    <t xml:space="preserve"> For more information about APCs for other article types, please visit the Journal Homepage.</t>
  </si>
  <si>
    <t>The billing currency is based on the billing address details provided by the author.</t>
  </si>
  <si>
    <t xml:space="preserve">For The Lancet journals, open access is only possible with a Funding body. For more information, </t>
  </si>
  <si>
    <t>please visit the Journal Homepage.</t>
  </si>
  <si>
    <t xml:space="preserve">** If no price is listed, this means that: </t>
  </si>
  <si>
    <r>
      <t xml:space="preserve">a) The article publishing charge is waived for a new open access journal,  </t>
    </r>
    <r>
      <rPr>
        <b/>
        <sz val="11"/>
        <color theme="1"/>
        <rFont val="Calibri"/>
        <family val="2"/>
        <scheme val="minor"/>
      </rPr>
      <t>OR</t>
    </r>
  </si>
  <si>
    <r>
      <t xml:space="preserve">b) The article publishing charge is sponsored by third party, </t>
    </r>
    <r>
      <rPr>
        <b/>
        <sz val="11"/>
        <color theme="1"/>
        <rFont val="Calibri"/>
        <family val="2"/>
        <scheme val="minor"/>
      </rPr>
      <t>OR</t>
    </r>
  </si>
  <si>
    <t>c) Journal owner invoices authors directly.</t>
  </si>
  <si>
    <t>3840"</t>
  </si>
  <si>
    <t>3590"</t>
  </si>
  <si>
    <t>3070"</t>
  </si>
  <si>
    <t>476280"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</si>
</sst>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7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u/>
        <color rgb="FF0000FF"/>
      </font>
    </dxf>
    <dxf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G3086" totalsRowShown="0">
  <autoFilter ref="A3:G3086" xr:uid="{00000000-0009-0000-0100-000001000000}"/>
  <tableColumns count="7">
    <tableColumn id="1" xr3:uid="{00000000-0010-0000-0000-000001000000}" name="ISSN" dataDxfId="6"/>
    <tableColumn id="2" xr3:uid="{00000000-0010-0000-0000-000002000000}" name="Title" dataDxfId="5"/>
    <tableColumn id="3" xr3:uid="{00000000-0010-0000-0000-000003000000}" name="Business model" dataDxfId="4"/>
    <tableColumn id="4" xr3:uid="{00000000-0010-0000-0000-000004000000}" name="USD" dataDxfId="3"/>
    <tableColumn id="5" xr3:uid="{00000000-0010-0000-0000-000005000000}" name="EUR" dataDxfId="2"/>
    <tableColumn id="6" xr3:uid="{00000000-0010-0000-0000-000006000000}" name="GBP" dataDxfId="1"/>
    <tableColumn id="7" xr3:uid="{00000000-0010-0000-0000-000007000000}" name="JPY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97"/>
  <sheetViews>
    <sheetView tabSelected="1" workbookViewId="0">
      <selection activeCell="G9" sqref="G9"/>
    </sheetView>
  </sheetViews>
  <sheetFormatPr defaultRowHeight="15" x14ac:dyDescent="0.25"/>
  <cols>
    <col min="1" max="1" width="10.7109375" customWidth="1"/>
    <col min="2" max="2" width="68.140625" customWidth="1"/>
    <col min="3" max="3" width="17.7109375" customWidth="1"/>
    <col min="4" max="7" width="8.7109375" customWidth="1"/>
  </cols>
  <sheetData>
    <row r="1" spans="1:7" ht="30" customHeight="1" x14ac:dyDescent="0.3">
      <c r="A1" s="4" t="s">
        <v>0</v>
      </c>
      <c r="B1" s="4"/>
      <c r="C1" s="4"/>
      <c r="D1" s="4"/>
      <c r="E1" s="4"/>
      <c r="F1" s="4"/>
      <c r="G1" s="4"/>
    </row>
    <row r="2" spans="1:7" ht="35.1" customHeight="1" x14ac:dyDescent="0.25">
      <c r="A2" s="3" t="s">
        <v>1</v>
      </c>
      <c r="B2" s="3"/>
      <c r="C2" s="3"/>
      <c r="D2" s="3"/>
      <c r="E2" s="3"/>
      <c r="F2" s="3"/>
      <c r="G2" s="3"/>
    </row>
    <row r="3" spans="1:7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</row>
    <row r="4" spans="1:7" x14ac:dyDescent="0.25">
      <c r="A4" s="1" t="s">
        <v>9</v>
      </c>
      <c r="B4" s="2" t="str">
        <f>HYPERLINK("https://www.elsevier.com/locate/issn/0361-3682", "Accounting, Organizations and Society")</f>
        <v>Accounting, Organizations and Society</v>
      </c>
      <c r="C4" s="1" t="s">
        <v>10</v>
      </c>
      <c r="D4" s="1" t="s">
        <v>3313</v>
      </c>
      <c r="E4" s="1" t="s">
        <v>3314</v>
      </c>
      <c r="F4" s="1" t="s">
        <v>3315</v>
      </c>
      <c r="G4" s="1" t="s">
        <v>3316</v>
      </c>
    </row>
    <row r="5" spans="1:7" x14ac:dyDescent="0.25">
      <c r="A5" s="1" t="s">
        <v>12</v>
      </c>
      <c r="B5" s="2" t="str">
        <f>HYPERLINK("https://www.elsevier.com/locate/issn/0167-8809", "Agriculture, Ecosystems &amp; Environment")</f>
        <v>Agriculture, Ecosystems &amp; Environment</v>
      </c>
      <c r="C5" s="1" t="s">
        <v>10</v>
      </c>
      <c r="D5" s="1" t="s">
        <v>13</v>
      </c>
      <c r="E5" s="1" t="s">
        <v>14</v>
      </c>
      <c r="F5" s="1" t="s">
        <v>15</v>
      </c>
      <c r="G5" s="1" t="s">
        <v>16</v>
      </c>
    </row>
    <row r="6" spans="1:7" x14ac:dyDescent="0.25">
      <c r="A6" s="1" t="s">
        <v>17</v>
      </c>
      <c r="B6" s="2" t="str">
        <f>HYPERLINK("https://www.elsevier.com/locate/issn/1081-1206", "Annals of Allergy, Asthma &amp; Immunology")</f>
        <v>Annals of Allergy, Asthma &amp; Immunology</v>
      </c>
      <c r="C6" s="1" t="s">
        <v>10</v>
      </c>
      <c r="D6" s="1" t="s">
        <v>18</v>
      </c>
      <c r="E6" s="1" t="s">
        <v>19</v>
      </c>
      <c r="F6" s="1" t="s">
        <v>20</v>
      </c>
      <c r="G6" s="1" t="s">
        <v>21</v>
      </c>
    </row>
    <row r="7" spans="1:7" x14ac:dyDescent="0.25">
      <c r="A7" s="1" t="s">
        <v>22</v>
      </c>
      <c r="B7" s="2" t="str">
        <f>HYPERLINK("https://www.elsevier.com/locate/issn/2666-061X", "Arthroscopy, Sports Medicine, and Rehabilitation")</f>
        <v>Arthroscopy, Sports Medicine, and Rehabilitation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</row>
    <row r="8" spans="1:7" x14ac:dyDescent="0.25">
      <c r="A8" s="1" t="s">
        <v>28</v>
      </c>
      <c r="B8" s="2" t="str">
        <f>HYPERLINK("https://www.elsevier.com/locate/issn/2214-6873", "Asia-Pacific Journal of Sports Medicine, Arthroscopy, Rehabilitation and Technology")</f>
        <v>Asia-Pacific Journal of Sports Medicine, Arthroscopy, Rehabilitation and Technology</v>
      </c>
      <c r="C8" s="1" t="s">
        <v>23</v>
      </c>
      <c r="D8" s="1" t="s">
        <v>29</v>
      </c>
      <c r="E8" s="1" t="s">
        <v>30</v>
      </c>
      <c r="F8" s="1" t="s">
        <v>31</v>
      </c>
      <c r="G8" s="1" t="s">
        <v>32</v>
      </c>
    </row>
    <row r="9" spans="1:7" x14ac:dyDescent="0.25">
      <c r="A9" s="1" t="s">
        <v>33</v>
      </c>
      <c r="B9" s="2" t="str">
        <f>HYPERLINK("https://www.elsevier.com/locate/issn/2772-4859", "BenchCouncil Transactions on Benchmarks, Standards and Evaluations")</f>
        <v>BenchCouncil Transactions on Benchmarks, Standards and Evaluations</v>
      </c>
      <c r="C9" s="1" t="s">
        <v>34</v>
      </c>
      <c r="D9" s="1" t="s">
        <v>35</v>
      </c>
      <c r="E9" s="1" t="s">
        <v>35</v>
      </c>
      <c r="F9" s="1" t="s">
        <v>35</v>
      </c>
      <c r="G9" s="1" t="s">
        <v>35</v>
      </c>
    </row>
    <row r="10" spans="1:7" x14ac:dyDescent="0.25">
      <c r="A10" s="1" t="s">
        <v>36</v>
      </c>
      <c r="B10" s="2" t="str">
        <f>HYPERLINK("https://www.elsevier.com/locate/issn/1079-9796", "Blood Cells, Molecules, and Diseases")</f>
        <v>Blood Cells, Molecules, and Diseases</v>
      </c>
      <c r="C10" s="1" t="s">
        <v>10</v>
      </c>
      <c r="D10" s="1" t="s">
        <v>37</v>
      </c>
      <c r="E10" s="1" t="s">
        <v>38</v>
      </c>
      <c r="F10" s="1" t="s">
        <v>11</v>
      </c>
      <c r="G10" s="1" t="s">
        <v>39</v>
      </c>
    </row>
    <row r="11" spans="1:7" x14ac:dyDescent="0.25">
      <c r="A11" s="1" t="s">
        <v>40</v>
      </c>
      <c r="B11" s="2" t="str">
        <f>HYPERLINK("https://www.elsevier.com/locate/issn/2950-3272", "Blood Vessels, Thrombosis &amp; Hemostasis")</f>
        <v>Blood Vessels, Thrombosis &amp; Hemostasis</v>
      </c>
      <c r="C11" s="1" t="s">
        <v>23</v>
      </c>
      <c r="D11" s="1" t="s">
        <v>41</v>
      </c>
      <c r="E11" s="1" t="s">
        <v>42</v>
      </c>
      <c r="F11" s="1" t="s">
        <v>43</v>
      </c>
      <c r="G11" s="1" t="s">
        <v>44</v>
      </c>
    </row>
    <row r="12" spans="1:7" x14ac:dyDescent="0.25">
      <c r="A12" s="1" t="s">
        <v>45</v>
      </c>
      <c r="B12" s="2" t="str">
        <f>HYPERLINK("https://www.elsevier.com/locate/issn/2666-3546", "Brain, Behavior, &amp; Immunity - Health")</f>
        <v>Brain, Behavior, &amp; Immunity - Health</v>
      </c>
      <c r="C12" s="1" t="s">
        <v>23</v>
      </c>
      <c r="D12" s="1" t="s">
        <v>46</v>
      </c>
      <c r="E12" s="1" t="s">
        <v>47</v>
      </c>
      <c r="F12" s="1" t="s">
        <v>48</v>
      </c>
      <c r="G12" s="1" t="s">
        <v>49</v>
      </c>
    </row>
    <row r="13" spans="1:7" x14ac:dyDescent="0.25">
      <c r="A13" s="1" t="s">
        <v>50</v>
      </c>
      <c r="B13" s="2" t="str">
        <f>HYPERLINK("https://www.elsevier.com/locate/issn/0889-1591", "Brain, Behavior, and Immunity")</f>
        <v>Brain, Behavior, and Immunity</v>
      </c>
      <c r="C13" s="1" t="s">
        <v>10</v>
      </c>
      <c r="D13" s="1" t="s">
        <v>51</v>
      </c>
      <c r="E13" s="1" t="s">
        <v>52</v>
      </c>
      <c r="F13" s="1" t="s">
        <v>53</v>
      </c>
      <c r="G13" s="1" t="s">
        <v>54</v>
      </c>
    </row>
    <row r="14" spans="1:7" x14ac:dyDescent="0.25">
      <c r="A14" s="1" t="s">
        <v>55</v>
      </c>
      <c r="B14" s="2" t="str">
        <f>HYPERLINK("https://www.elsevier.com/locate/issn/0960-0779", "Chaos, Solitons &amp; Fractals")</f>
        <v>Chaos, Solitons &amp; Fractals</v>
      </c>
      <c r="C14" s="1" t="s">
        <v>10</v>
      </c>
      <c r="D14" s="1" t="s">
        <v>56</v>
      </c>
      <c r="E14" s="1" t="s">
        <v>57</v>
      </c>
      <c r="F14" s="1" t="s">
        <v>19</v>
      </c>
      <c r="G14" s="1" t="s">
        <v>58</v>
      </c>
    </row>
    <row r="15" spans="1:7" x14ac:dyDescent="0.25">
      <c r="A15" s="1" t="s">
        <v>59</v>
      </c>
      <c r="B15" s="2" t="str">
        <f>HYPERLINK("https://www.elsevier.com/locate/issn/2590-0544", "Chaos, Solitons &amp; Fractals: X")</f>
        <v>Chaos, Solitons &amp; Fractals: X</v>
      </c>
      <c r="C15" s="1" t="s">
        <v>23</v>
      </c>
      <c r="D15" s="1" t="s">
        <v>60</v>
      </c>
      <c r="E15" s="1" t="s">
        <v>61</v>
      </c>
      <c r="F15" s="1" t="s">
        <v>62</v>
      </c>
      <c r="G15" s="1" t="s">
        <v>63</v>
      </c>
    </row>
    <row r="16" spans="1:7" x14ac:dyDescent="0.25">
      <c r="A16" s="1" t="s">
        <v>64</v>
      </c>
      <c r="B16" s="2" t="str">
        <f>HYPERLINK("https://www.elsevier.com/locate/issn/2325-4262", "Chinese Journal of Population, Resources and Environment")</f>
        <v>Chinese Journal of Population, Resources and Environment</v>
      </c>
      <c r="C16" s="1" t="s">
        <v>34</v>
      </c>
      <c r="D16" s="1" t="s">
        <v>35</v>
      </c>
      <c r="E16" s="1" t="s">
        <v>35</v>
      </c>
      <c r="F16" s="1" t="s">
        <v>35</v>
      </c>
      <c r="G16" s="1" t="s">
        <v>35</v>
      </c>
    </row>
    <row r="17" spans="1:7" x14ac:dyDescent="0.25">
      <c r="A17" s="1" t="s">
        <v>65</v>
      </c>
      <c r="B17" s="2" t="str">
        <f>HYPERLINK("https://www.elsevier.com/locate/issn/1877-9166", "City, Culture and Society")</f>
        <v>City, Culture and Society</v>
      </c>
      <c r="C17" s="1" t="s">
        <v>10</v>
      </c>
      <c r="D17" s="1" t="s">
        <v>66</v>
      </c>
      <c r="E17" s="1" t="s">
        <v>41</v>
      </c>
      <c r="F17" s="1" t="s">
        <v>67</v>
      </c>
      <c r="G17" s="1" t="s">
        <v>68</v>
      </c>
    </row>
    <row r="18" spans="1:7" x14ac:dyDescent="0.25">
      <c r="A18" s="1" t="s">
        <v>69</v>
      </c>
      <c r="B18" s="2" t="str">
        <f>HYPERLINK("https://www.elsevier.com/locate/issn/2152-2650", "Clinical Lymphoma Myeloma and Leukemia")</f>
        <v>Clinical Lymphoma Myeloma and Leukemia</v>
      </c>
      <c r="C18" s="1" t="s">
        <v>10</v>
      </c>
      <c r="D18" s="1" t="s">
        <v>70</v>
      </c>
      <c r="E18" s="1" t="s">
        <v>71</v>
      </c>
      <c r="F18" s="1" t="s">
        <v>72</v>
      </c>
      <c r="G18" s="1" t="s">
        <v>73</v>
      </c>
    </row>
    <row r="19" spans="1:7" x14ac:dyDescent="0.25">
      <c r="A19" s="1" t="s">
        <v>74</v>
      </c>
      <c r="B19" s="2" t="str">
        <f>HYPERLINK("https://www.elsevier.com/locate/issn/0147-9571", "Comparative Immunology, Microbiology and Infectious Diseases")</f>
        <v>Comparative Immunology, Microbiology and Infectious Diseases</v>
      </c>
      <c r="C19" s="1" t="s">
        <v>10</v>
      </c>
      <c r="D19" s="1" t="s">
        <v>75</v>
      </c>
      <c r="E19" s="1" t="s">
        <v>76</v>
      </c>
      <c r="F19" s="1" t="s">
        <v>77</v>
      </c>
      <c r="G19" s="1" t="s">
        <v>78</v>
      </c>
    </row>
    <row r="20" spans="1:7" x14ac:dyDescent="0.25">
      <c r="A20" s="1" t="s">
        <v>79</v>
      </c>
      <c r="B20" s="2" t="str">
        <f>HYPERLINK("https://www.elsevier.com/locate/issn/0198-9715", "Computers, Environment and Urban Systems")</f>
        <v>Computers, Environment and Urban Systems</v>
      </c>
      <c r="C20" s="1" t="s">
        <v>10</v>
      </c>
      <c r="D20" s="1" t="s">
        <v>70</v>
      </c>
      <c r="E20" s="1" t="s">
        <v>71</v>
      </c>
      <c r="F20" s="1" t="s">
        <v>72</v>
      </c>
      <c r="G20" s="1" t="s">
        <v>73</v>
      </c>
    </row>
    <row r="21" spans="1:7" x14ac:dyDescent="0.25">
      <c r="A21" s="1" t="s">
        <v>80</v>
      </c>
      <c r="B21" s="2" t="str">
        <f>HYPERLINK("https://www.elsevier.com/locate/issn/2211-6958", "Discourse, Context &amp; Media")</f>
        <v>Discourse, Context &amp; Media</v>
      </c>
      <c r="C21" s="1" t="s">
        <v>10</v>
      </c>
      <c r="D21" s="1" t="s">
        <v>38</v>
      </c>
      <c r="E21" s="1" t="s">
        <v>81</v>
      </c>
      <c r="F21" s="1" t="s">
        <v>82</v>
      </c>
      <c r="G21" s="1" t="s">
        <v>83</v>
      </c>
    </row>
    <row r="22" spans="1:7" x14ac:dyDescent="0.25">
      <c r="A22" s="1" t="s">
        <v>84</v>
      </c>
      <c r="B22" s="2" t="str">
        <f>HYPERLINK("https://www.elsevier.com/locate/issn/2667-1182", "Emerging Trends in Drugs, Addictions, and Health")</f>
        <v>Emerging Trends in Drugs, Addictions, and Health</v>
      </c>
      <c r="C22" s="1" t="s">
        <v>23</v>
      </c>
      <c r="D22" s="1" t="s">
        <v>24</v>
      </c>
      <c r="E22" s="1" t="s">
        <v>25</v>
      </c>
      <c r="F22" s="1" t="s">
        <v>26</v>
      </c>
      <c r="G22" s="1" t="s">
        <v>27</v>
      </c>
    </row>
    <row r="23" spans="1:7" x14ac:dyDescent="0.25">
      <c r="A23" s="1" t="s">
        <v>85</v>
      </c>
      <c r="B23" s="2" t="str">
        <f>HYPERLINK("https://www.elsevier.com/locate/issn/1755-4586", "Emotion, Space and Society")</f>
        <v>Emotion, Space and Society</v>
      </c>
      <c r="C23" s="1" t="s">
        <v>10</v>
      </c>
      <c r="D23" s="1" t="s">
        <v>81</v>
      </c>
      <c r="E23" s="1" t="s">
        <v>86</v>
      </c>
      <c r="F23" s="1" t="s">
        <v>87</v>
      </c>
      <c r="G23" s="1" t="s">
        <v>88</v>
      </c>
    </row>
    <row r="24" spans="1:7" x14ac:dyDescent="0.25">
      <c r="A24" s="1" t="s">
        <v>89</v>
      </c>
      <c r="B24" s="2" t="str">
        <f>HYPERLINK("https://www.elsevier.com/locate/issn/2530-0164", "Endocrinología, Diabetes y Nutrición")</f>
        <v>Endocrinología, Diabetes y Nutrición</v>
      </c>
      <c r="C24" s="1" t="s">
        <v>10</v>
      </c>
      <c r="D24" s="1" t="s">
        <v>90</v>
      </c>
      <c r="E24" s="1" t="s">
        <v>91</v>
      </c>
      <c r="F24" s="1" t="s">
        <v>92</v>
      </c>
      <c r="G24" s="1" t="s">
        <v>93</v>
      </c>
    </row>
    <row r="25" spans="1:7" x14ac:dyDescent="0.25">
      <c r="A25" s="1" t="s">
        <v>94</v>
      </c>
      <c r="B25" s="2" t="str">
        <f>HYPERLINK("https://www.elsevier.com/locate/issn/2530-0180", "Endocrinología, Diabetes y Nutrición (English ed.)")</f>
        <v>Endocrinología, Diabetes y Nutrición (English ed.)</v>
      </c>
      <c r="C25" s="1" t="s">
        <v>10</v>
      </c>
      <c r="D25" s="1" t="s">
        <v>95</v>
      </c>
      <c r="E25" s="1" t="s">
        <v>96</v>
      </c>
      <c r="F25" s="1" t="s">
        <v>97</v>
      </c>
      <c r="G25" s="1" t="s">
        <v>98</v>
      </c>
    </row>
    <row r="26" spans="1:7" x14ac:dyDescent="0.25">
      <c r="A26" s="1" t="s">
        <v>99</v>
      </c>
      <c r="B26" s="2" t="str">
        <f>HYPERLINK("https://www.elsevier.com/locate/issn/2215-0986", "Engineering Science and Technology, an International Journal")</f>
        <v>Engineering Science and Technology, an International Journal</v>
      </c>
      <c r="C26" s="1" t="s">
        <v>23</v>
      </c>
      <c r="D26" s="1" t="s">
        <v>24</v>
      </c>
      <c r="E26" s="1" t="s">
        <v>25</v>
      </c>
      <c r="F26" s="1" t="s">
        <v>26</v>
      </c>
      <c r="G26" s="1" t="s">
        <v>27</v>
      </c>
    </row>
    <row r="27" spans="1:7" x14ac:dyDescent="0.25">
      <c r="A27" s="1" t="s">
        <v>100</v>
      </c>
      <c r="B27" s="2" t="str">
        <f>HYPERLINK("https://www.elsevier.com/locate/issn/2215-1532", "Environmental Nanotechnology, Monitoring &amp; Management")</f>
        <v>Environmental Nanotechnology, Monitoring &amp; Management</v>
      </c>
      <c r="C27" s="1" t="s">
        <v>10</v>
      </c>
      <c r="D27" s="1" t="s">
        <v>101</v>
      </c>
      <c r="E27" s="1" t="s">
        <v>102</v>
      </c>
      <c r="F27" s="1" t="s">
        <v>103</v>
      </c>
      <c r="G27" s="1" t="s">
        <v>104</v>
      </c>
    </row>
    <row r="28" spans="1:7" x14ac:dyDescent="0.25">
      <c r="A28" s="1" t="s">
        <v>105</v>
      </c>
      <c r="B28" s="2" t="str">
        <f>HYPERLINK("https://www.elsevier.com/locate/issn/0272-7714", "Estuarine, Coastal and Shelf Science")</f>
        <v>Estuarine, Coastal and Shelf Science</v>
      </c>
      <c r="C28" s="1" t="s">
        <v>10</v>
      </c>
      <c r="D28" s="1" t="s">
        <v>102</v>
      </c>
      <c r="E28" s="1" t="s">
        <v>106</v>
      </c>
      <c r="F28" s="1" t="s">
        <v>107</v>
      </c>
      <c r="G28" s="1" t="s">
        <v>108</v>
      </c>
    </row>
    <row r="29" spans="1:7" x14ac:dyDescent="0.25">
      <c r="A29" s="1" t="s">
        <v>109</v>
      </c>
      <c r="B29" s="2" t="str">
        <f>HYPERLINK("https://www.elsevier.com/locate/issn/2352-5525", "Ethics, Medicine and Public Health")</f>
        <v>Ethics, Medicine and Public Health</v>
      </c>
      <c r="C29" s="1" t="s">
        <v>10</v>
      </c>
      <c r="D29" s="1" t="s">
        <v>110</v>
      </c>
      <c r="E29" s="1" t="s">
        <v>111</v>
      </c>
      <c r="F29" s="1" t="s">
        <v>112</v>
      </c>
      <c r="G29" s="1" t="s">
        <v>113</v>
      </c>
    </row>
    <row r="30" spans="1:7" x14ac:dyDescent="0.25">
      <c r="A30" s="1" t="s">
        <v>114</v>
      </c>
      <c r="B30" s="2" t="str">
        <f>HYPERLINK("https://www.elsevier.com/locate/issn/1879-7296", "European Annals of Otorhinolaryngology, Head and Neck Diseases")</f>
        <v>European Annals of Otorhinolaryngology, Head and Neck Diseases</v>
      </c>
      <c r="C30" s="1" t="s">
        <v>10</v>
      </c>
      <c r="D30" s="1" t="s">
        <v>115</v>
      </c>
      <c r="E30" s="1" t="s">
        <v>116</v>
      </c>
      <c r="F30" s="1" t="s">
        <v>117</v>
      </c>
      <c r="G30" s="1" t="s">
        <v>118</v>
      </c>
    </row>
    <row r="31" spans="1:7" x14ac:dyDescent="0.25">
      <c r="A31" s="1" t="s">
        <v>119</v>
      </c>
      <c r="B31" s="2" t="str">
        <f>HYPERLINK("https://www.elsevier.com/locate/issn/2667-3967", "Foot &amp; Ankle Surgery: Techniques, Reports &amp; Cases")</f>
        <v>Foot &amp; Ankle Surgery: Techniques, Reports &amp; Cases</v>
      </c>
      <c r="C31" s="1" t="s">
        <v>23</v>
      </c>
      <c r="D31" s="1" t="s">
        <v>24</v>
      </c>
      <c r="E31" s="1" t="s">
        <v>25</v>
      </c>
      <c r="F31" s="1" t="s">
        <v>26</v>
      </c>
      <c r="G31" s="1" t="s">
        <v>27</v>
      </c>
    </row>
    <row r="32" spans="1:7" x14ac:dyDescent="0.25">
      <c r="A32" s="1" t="s">
        <v>120</v>
      </c>
      <c r="B32" s="2" t="str">
        <f>HYPERLINK("https://www.elsevier.com/locate/issn/1672-0229", "Genomics, Proteomics &amp; Bioinformatics")</f>
        <v>Genomics, Proteomics &amp; Bioinformatics</v>
      </c>
      <c r="C32" s="1" t="s">
        <v>23</v>
      </c>
      <c r="D32" s="1" t="s">
        <v>101</v>
      </c>
      <c r="E32" s="1" t="s">
        <v>102</v>
      </c>
      <c r="F32" s="1" t="s">
        <v>103</v>
      </c>
      <c r="G32" s="1" t="s">
        <v>104</v>
      </c>
    </row>
    <row r="33" spans="1:7" x14ac:dyDescent="0.25">
      <c r="A33" s="1" t="s">
        <v>121</v>
      </c>
      <c r="B33" s="2" t="str">
        <f>HYPERLINK("https://www.elsevier.com/locate/issn/1443-9506", "Heart, Lung and Circulation")</f>
        <v>Heart, Lung and Circulation</v>
      </c>
      <c r="C33" s="1" t="s">
        <v>10</v>
      </c>
      <c r="D33" s="1" t="s">
        <v>122</v>
      </c>
      <c r="E33" s="1" t="s">
        <v>123</v>
      </c>
      <c r="F33" s="1" t="s">
        <v>124</v>
      </c>
      <c r="G33" s="1" t="s">
        <v>125</v>
      </c>
    </row>
    <row r="34" spans="1:7" x14ac:dyDescent="0.25">
      <c r="A34" s="1" t="s">
        <v>126</v>
      </c>
      <c r="B34" s="2" t="str">
        <f>HYPERLINK("https://www.elsevier.com/locate/issn/2531-1379", "Hematology, Transfusion and Cell Therapy")</f>
        <v>Hematology, Transfusion and Cell Therapy</v>
      </c>
      <c r="C34" s="1" t="s">
        <v>34</v>
      </c>
      <c r="D34" s="1" t="s">
        <v>35</v>
      </c>
      <c r="E34" s="1" t="s">
        <v>35</v>
      </c>
      <c r="F34" s="1" t="s">
        <v>35</v>
      </c>
      <c r="G34" s="1" t="s">
        <v>35</v>
      </c>
    </row>
    <row r="35" spans="1:7" x14ac:dyDescent="0.25">
      <c r="A35" s="1" t="s">
        <v>127</v>
      </c>
      <c r="B35" s="2" t="str">
        <f>HYPERLINK("https://www.elsevier.com/locate/issn/2468-0451", "Infection, Disease &amp; Health")</f>
        <v>Infection, Disease &amp; Health</v>
      </c>
      <c r="C35" s="1" t="s">
        <v>10</v>
      </c>
      <c r="D35" s="1" t="s">
        <v>128</v>
      </c>
      <c r="E35" s="1" t="s">
        <v>129</v>
      </c>
      <c r="F35" s="1" t="s">
        <v>130</v>
      </c>
      <c r="G35" s="1" t="s">
        <v>131</v>
      </c>
    </row>
    <row r="36" spans="1:7" x14ac:dyDescent="0.25">
      <c r="A36" s="1" t="s">
        <v>132</v>
      </c>
      <c r="B36" s="2" t="str">
        <f>HYPERLINK("https://www.elsevier.com/locate/issn/1567-1348", "Infection, Genetics and Evolution")</f>
        <v>Infection, Genetics and Evolution</v>
      </c>
      <c r="C36" s="1" t="s">
        <v>23</v>
      </c>
      <c r="D36" s="1" t="s">
        <v>107</v>
      </c>
      <c r="E36" s="1" t="s">
        <v>133</v>
      </c>
      <c r="F36" s="1" t="s">
        <v>134</v>
      </c>
      <c r="G36" s="1" t="s">
        <v>135</v>
      </c>
    </row>
    <row r="37" spans="1:7" x14ac:dyDescent="0.25">
      <c r="A37" s="1" t="s">
        <v>136</v>
      </c>
      <c r="B37" s="2" t="str">
        <f>HYPERLINK("https://www.elsevier.com/locate/issn/1756-0616", "International Journal of Law, Crime and Justice")</f>
        <v>International Journal of Law, Crime and Justice</v>
      </c>
      <c r="C37" s="1" t="s">
        <v>10</v>
      </c>
      <c r="D37" s="1" t="s">
        <v>137</v>
      </c>
      <c r="E37" s="1" t="s">
        <v>138</v>
      </c>
      <c r="F37" s="1" t="s">
        <v>139</v>
      </c>
      <c r="G37" s="1" t="s">
        <v>140</v>
      </c>
    </row>
    <row r="38" spans="1:7" x14ac:dyDescent="0.25">
      <c r="A38" s="1" t="s">
        <v>141</v>
      </c>
      <c r="B38" s="2" t="str">
        <f>HYPERLINK("https://www.elsevier.com/locate/issn/0360-3016", "International Journal of Radiation Oncology*Biology*Physics")</f>
        <v>International Journal of Radiation Oncology*Biology*Physics</v>
      </c>
      <c r="C38" s="1" t="s">
        <v>10</v>
      </c>
      <c r="D38" s="1" t="s">
        <v>142</v>
      </c>
      <c r="E38" s="1" t="s">
        <v>143</v>
      </c>
      <c r="F38" s="1" t="s">
        <v>144</v>
      </c>
      <c r="G38" s="1" t="s">
        <v>145</v>
      </c>
    </row>
    <row r="39" spans="1:7" x14ac:dyDescent="0.25">
      <c r="A39" s="1" t="s">
        <v>146</v>
      </c>
      <c r="B39" s="2" t="str">
        <f>HYPERLINK("https://www.elsevier.com/locate/issn/0097-3165", "Journal of Combinatorial Theory, Series A")</f>
        <v>Journal of Combinatorial Theory, Series A</v>
      </c>
      <c r="C39" s="1" t="s">
        <v>10</v>
      </c>
      <c r="D39" s="1" t="s">
        <v>147</v>
      </c>
      <c r="E39" s="1" t="s">
        <v>148</v>
      </c>
      <c r="F39" s="1" t="s">
        <v>116</v>
      </c>
      <c r="G39" s="1" t="s">
        <v>149</v>
      </c>
    </row>
    <row r="40" spans="1:7" x14ac:dyDescent="0.25">
      <c r="A40" s="1" t="s">
        <v>150</v>
      </c>
      <c r="B40" s="2" t="str">
        <f>HYPERLINK("https://www.elsevier.com/locate/issn/0095-8956", "Journal of Combinatorial Theory, Series B")</f>
        <v>Journal of Combinatorial Theory, Series B</v>
      </c>
      <c r="C40" s="1" t="s">
        <v>10</v>
      </c>
      <c r="D40" s="1" t="s">
        <v>151</v>
      </c>
      <c r="E40" s="1" t="s">
        <v>152</v>
      </c>
      <c r="F40" s="1" t="s">
        <v>76</v>
      </c>
      <c r="G40" s="1" t="s">
        <v>153</v>
      </c>
    </row>
    <row r="41" spans="1:7" x14ac:dyDescent="0.25">
      <c r="A41" s="1" t="s">
        <v>154</v>
      </c>
      <c r="B41" s="2" t="str">
        <f>HYPERLINK("https://www.elsevier.com/locate/issn/1473-8376", "Journal of Hospitality, Leisure, Sport &amp; Tourism Education")</f>
        <v>Journal of Hospitality, Leisure, Sport &amp; Tourism Education</v>
      </c>
      <c r="C41" s="1" t="s">
        <v>10</v>
      </c>
      <c r="D41" s="1" t="s">
        <v>155</v>
      </c>
      <c r="E41" s="1" t="s">
        <v>144</v>
      </c>
      <c r="F41" s="1" t="s">
        <v>87</v>
      </c>
      <c r="G41" s="1" t="s">
        <v>156</v>
      </c>
    </row>
    <row r="42" spans="1:7" x14ac:dyDescent="0.25">
      <c r="A42" s="1" t="s">
        <v>157</v>
      </c>
      <c r="B42" s="2" t="str">
        <f>HYPERLINK("https://www.elsevier.com/locate/issn/1061-9518", "Journal of International Accounting, Auditing and Taxation")</f>
        <v>Journal of International Accounting, Auditing and Taxation</v>
      </c>
      <c r="C42" s="1" t="s">
        <v>10</v>
      </c>
      <c r="D42" s="1" t="s">
        <v>158</v>
      </c>
      <c r="E42" s="1" t="s">
        <v>122</v>
      </c>
      <c r="F42" s="1" t="s">
        <v>159</v>
      </c>
      <c r="G42" s="1" t="s">
        <v>160</v>
      </c>
    </row>
    <row r="43" spans="1:7" x14ac:dyDescent="0.25">
      <c r="A43" s="1" t="s">
        <v>161</v>
      </c>
      <c r="B43" s="2" t="str">
        <f>HYPERLINK("https://www.elsevier.com/locate/issn/1042-4431", "Journal of International Financial Markets, Institutions and Money")</f>
        <v>Journal of International Financial Markets, Institutions and Money</v>
      </c>
      <c r="C43" s="1" t="s">
        <v>10</v>
      </c>
      <c r="D43" s="1" t="s">
        <v>162</v>
      </c>
      <c r="E43" s="1" t="s">
        <v>163</v>
      </c>
      <c r="F43" s="1" t="s">
        <v>164</v>
      </c>
      <c r="G43" s="1" t="s">
        <v>165</v>
      </c>
    </row>
    <row r="44" spans="1:7" x14ac:dyDescent="0.25">
      <c r="A44" s="1" t="s">
        <v>166</v>
      </c>
      <c r="B44" s="2" t="str">
        <f>HYPERLINK("https://www.elsevier.com/locate/issn/2949-916X", "Global Medicine and Healthcare")</f>
        <v>Global Medicine and Healthcare</v>
      </c>
      <c r="C44" s="1" t="s">
        <v>23</v>
      </c>
      <c r="D44" s="1" t="s">
        <v>167</v>
      </c>
      <c r="E44" s="1" t="s">
        <v>168</v>
      </c>
      <c r="F44" s="1" t="s">
        <v>169</v>
      </c>
      <c r="G44" s="1" t="s">
        <v>170</v>
      </c>
    </row>
    <row r="45" spans="1:7" x14ac:dyDescent="0.25">
      <c r="A45" s="1" t="s">
        <v>171</v>
      </c>
      <c r="B45" s="2" t="str">
        <f>HYPERLINK("https://www.elsevier.com/locate/issn/1684-1182", "Journal of Microbiology, Immunology and Infection")</f>
        <v>Journal of Microbiology, Immunology and Infection</v>
      </c>
      <c r="C45" s="1" t="s">
        <v>23</v>
      </c>
      <c r="D45" s="1" t="s">
        <v>172</v>
      </c>
      <c r="E45" s="1" t="s">
        <v>173</v>
      </c>
      <c r="F45" s="1" t="s">
        <v>174</v>
      </c>
      <c r="G45" s="1" t="s">
        <v>175</v>
      </c>
    </row>
    <row r="46" spans="1:7" x14ac:dyDescent="0.25">
      <c r="A46" s="1" t="s">
        <v>176</v>
      </c>
      <c r="B46" s="2" t="str">
        <f>HYPERLINK("https://www.elsevier.com/locate/issn/0884-2175", "Journal of Obstetric, Gynecologic &amp; Neonatal Nursing")</f>
        <v>Journal of Obstetric, Gynecologic &amp; Neonatal Nursing</v>
      </c>
      <c r="C46" s="1" t="s">
        <v>10</v>
      </c>
      <c r="D46" s="1" t="s">
        <v>41</v>
      </c>
      <c r="E46" s="1" t="s">
        <v>42</v>
      </c>
      <c r="F46" s="1" t="s">
        <v>43</v>
      </c>
      <c r="G46" s="1" t="s">
        <v>44</v>
      </c>
    </row>
    <row r="47" spans="1:7" x14ac:dyDescent="0.25">
      <c r="A47" s="1" t="s">
        <v>177</v>
      </c>
      <c r="B47" s="2" t="str">
        <f>HYPERLINK("https://www.elsevier.com/locate/issn/2199-8531", "Journal of Open Innovation: Technology, Market, and Complexity")</f>
        <v>Journal of Open Innovation: Technology, Market, and Complexity</v>
      </c>
      <c r="C47" s="1" t="s">
        <v>23</v>
      </c>
      <c r="D47" s="1" t="s">
        <v>178</v>
      </c>
      <c r="E47" s="1" t="s">
        <v>179</v>
      </c>
      <c r="F47" s="1" t="s">
        <v>29</v>
      </c>
      <c r="G47" s="1" t="s">
        <v>180</v>
      </c>
    </row>
    <row r="48" spans="1:7" x14ac:dyDescent="0.25">
      <c r="A48" s="1" t="s">
        <v>181</v>
      </c>
      <c r="B48" s="2" t="str">
        <f>HYPERLINK("https://www.elsevier.com/locate/issn/2212-5558", "Journal of Oral and Maxillofacial Surgery, Medicine, and Pathology")</f>
        <v>Journal of Oral and Maxillofacial Surgery, Medicine, and Pathology</v>
      </c>
      <c r="C48" s="1" t="s">
        <v>10</v>
      </c>
      <c r="D48" s="1" t="s">
        <v>47</v>
      </c>
      <c r="E48" s="1" t="s">
        <v>182</v>
      </c>
      <c r="F48" s="1" t="s">
        <v>183</v>
      </c>
      <c r="G48" s="1" t="s">
        <v>184</v>
      </c>
    </row>
    <row r="49" spans="1:7" x14ac:dyDescent="0.25">
      <c r="A49" s="1" t="s">
        <v>185</v>
      </c>
      <c r="B49" s="2" t="str">
        <f>HYPERLINK("https://www.elsevier.com/locate/issn/1748-6815", "Journal of Plastic, Reconstructive &amp; Aesthetic Surgery")</f>
        <v>Journal of Plastic, Reconstructive &amp; Aesthetic Surgery</v>
      </c>
      <c r="C49" s="1" t="s">
        <v>10</v>
      </c>
      <c r="D49" s="1" t="s">
        <v>186</v>
      </c>
      <c r="E49" s="1" t="s">
        <v>187</v>
      </c>
      <c r="F49" s="1" t="s">
        <v>188</v>
      </c>
      <c r="G49" s="1" t="s">
        <v>189</v>
      </c>
    </row>
    <row r="50" spans="1:7" x14ac:dyDescent="0.25">
      <c r="A50" s="1" t="s">
        <v>190</v>
      </c>
      <c r="B50" s="2" t="str">
        <f>HYPERLINK("https://www.elsevier.com/locate/issn/2468-7855", "Journal of Stomatology, Oral and Maxillofacial Surgery")</f>
        <v>Journal of Stomatology, Oral and Maxillofacial Surgery</v>
      </c>
      <c r="C50" s="1" t="s">
        <v>10</v>
      </c>
      <c r="D50" s="1" t="s">
        <v>191</v>
      </c>
      <c r="E50" s="1" t="s">
        <v>107</v>
      </c>
      <c r="F50" s="1" t="s">
        <v>192</v>
      </c>
      <c r="G50" s="1" t="s">
        <v>193</v>
      </c>
    </row>
    <row r="51" spans="1:7" x14ac:dyDescent="0.25">
      <c r="A51" s="1" t="s">
        <v>194</v>
      </c>
      <c r="B51" s="2" t="str">
        <f>HYPERLINK("https://www.elsevier.com/locate/issn/2468-4287", "Journal of Vascular Surgery Cases and Innovative Techniques")</f>
        <v>Journal of Vascular Surgery Cases and Innovative Techniques</v>
      </c>
      <c r="C51" s="1" t="s">
        <v>23</v>
      </c>
      <c r="D51" s="1" t="s">
        <v>178</v>
      </c>
      <c r="E51" s="1" t="s">
        <v>179</v>
      </c>
      <c r="F51" s="1" t="s">
        <v>29</v>
      </c>
      <c r="G51" s="1" t="s">
        <v>180</v>
      </c>
    </row>
    <row r="52" spans="1:7" x14ac:dyDescent="0.25">
      <c r="A52" s="1" t="s">
        <v>195</v>
      </c>
      <c r="B52" s="2" t="str">
        <f>HYPERLINK("https://www.elsevier.com/locate/issn/2666-6391", "JSES Reviews, Reports, and Techniques")</f>
        <v>JSES Reviews, Reports, and Techniques</v>
      </c>
      <c r="C52" s="1" t="s">
        <v>23</v>
      </c>
      <c r="D52" s="1" t="s">
        <v>196</v>
      </c>
      <c r="E52" s="1" t="s">
        <v>197</v>
      </c>
      <c r="F52" s="1" t="s">
        <v>198</v>
      </c>
      <c r="G52" s="1" t="s">
        <v>199</v>
      </c>
    </row>
    <row r="53" spans="1:7" x14ac:dyDescent="0.25">
      <c r="A53" s="1" t="s">
        <v>200</v>
      </c>
      <c r="B53" s="2" t="str">
        <f>HYPERLINK("https://www.elsevier.com/locate/issn/1779-0123", "Kinésithérapie, la Revue")</f>
        <v>Kinésithérapie, la Revue</v>
      </c>
      <c r="C53" s="1" t="s">
        <v>10</v>
      </c>
      <c r="D53" s="1" t="s">
        <v>201</v>
      </c>
      <c r="E53" s="1" t="s">
        <v>202</v>
      </c>
      <c r="F53" s="1" t="s">
        <v>203</v>
      </c>
      <c r="G53" s="1" t="s">
        <v>204</v>
      </c>
    </row>
    <row r="54" spans="1:7" x14ac:dyDescent="0.25">
      <c r="A54" s="1" t="s">
        <v>205</v>
      </c>
      <c r="B54" s="2" t="str">
        <f>HYPERLINK("https://www.elsevier.com/locate/issn/2468-9009", "Laparoscopic, Endoscopic and Robotic Surgery")</f>
        <v>Laparoscopic, Endoscopic and Robotic Surgery</v>
      </c>
      <c r="C54" s="1" t="s">
        <v>34</v>
      </c>
      <c r="D54" s="1" t="s">
        <v>35</v>
      </c>
      <c r="E54" s="1" t="s">
        <v>35</v>
      </c>
      <c r="F54" s="1" t="s">
        <v>35</v>
      </c>
      <c r="G54" s="1" t="s">
        <v>35</v>
      </c>
    </row>
    <row r="55" spans="1:7" x14ac:dyDescent="0.25">
      <c r="A55" s="1" t="s">
        <v>206</v>
      </c>
      <c r="B55" s="2" t="str">
        <f>HYPERLINK("https://www.elsevier.com/locate/issn/2210-6561", "Learning, Culture and Social Interaction")</f>
        <v>Learning, Culture and Social Interaction</v>
      </c>
      <c r="C55" s="1" t="s">
        <v>10</v>
      </c>
      <c r="D55" s="1" t="s">
        <v>207</v>
      </c>
      <c r="E55" s="1" t="s">
        <v>87</v>
      </c>
      <c r="F55" s="1" t="s">
        <v>208</v>
      </c>
      <c r="G55" s="1" t="s">
        <v>209</v>
      </c>
    </row>
    <row r="56" spans="1:7" x14ac:dyDescent="0.25">
      <c r="A56" s="1" t="s">
        <v>210</v>
      </c>
      <c r="B56" s="2" t="str">
        <f>HYPERLINK("https://www.elsevier.com/locate/issn/2542-4548", "Mayo Clinic Proceedings: Innovations, Quality &amp; Outcomes")</f>
        <v>Mayo Clinic Proceedings: Innovations, Quality &amp; Outcomes</v>
      </c>
      <c r="C56" s="1" t="s">
        <v>23</v>
      </c>
      <c r="D56" s="1" t="s">
        <v>41</v>
      </c>
      <c r="E56" s="1" t="s">
        <v>42</v>
      </c>
      <c r="F56" s="1" t="s">
        <v>43</v>
      </c>
      <c r="G56" s="1" t="s">
        <v>44</v>
      </c>
    </row>
    <row r="57" spans="1:7" x14ac:dyDescent="0.25">
      <c r="A57" s="1" t="s">
        <v>211</v>
      </c>
      <c r="B57" s="2" t="str">
        <f>HYPERLINK("https://www.elsevier.com/locate/issn/2773-0646", "Memories - Materials, Devices, Circuits and Systems")</f>
        <v>Memories - Materials, Devices, Circuits and Systems</v>
      </c>
      <c r="C57" s="1" t="s">
        <v>23</v>
      </c>
      <c r="D57" s="1" t="s">
        <v>212</v>
      </c>
      <c r="E57" s="1" t="s">
        <v>213</v>
      </c>
      <c r="F57" s="1" t="s">
        <v>214</v>
      </c>
      <c r="G57" s="1" t="s">
        <v>215</v>
      </c>
    </row>
    <row r="58" spans="1:7" x14ac:dyDescent="0.25">
      <c r="A58" s="1" t="s">
        <v>216</v>
      </c>
      <c r="B58" s="2" t="str">
        <f>HYPERLINK("https://www.elsevier.com/locate/issn/1549-9634", "Nanomedicine: Nanotechnology, Biology and Medicine")</f>
        <v>Nanomedicine: Nanotechnology, Biology and Medicine</v>
      </c>
      <c r="C58" s="1" t="s">
        <v>10</v>
      </c>
      <c r="D58" s="1" t="s">
        <v>217</v>
      </c>
      <c r="E58" s="1" t="s">
        <v>218</v>
      </c>
      <c r="F58" s="1" t="s">
        <v>219</v>
      </c>
      <c r="G58" s="1" t="s">
        <v>220</v>
      </c>
    </row>
    <row r="59" spans="1:7" ht="30" x14ac:dyDescent="0.25">
      <c r="A59" s="1" t="s">
        <v>221</v>
      </c>
      <c r="B59" s="2" t="str">
        <f>HYPERLINK("https://www.elsevier.com/locate/issn/0168-9002", "Nuclear Instruments and Methods in Physics Research Section A: Accelerators, Spectrometers, Detectors and Associated Equipment")</f>
        <v>Nuclear Instruments and Methods in Physics Research Section A: Accelerators, Spectrometers, Detectors and Associated Equipment</v>
      </c>
      <c r="C59" s="1" t="s">
        <v>10</v>
      </c>
      <c r="D59" s="1" t="s">
        <v>174</v>
      </c>
      <c r="E59" s="1" t="s">
        <v>128</v>
      </c>
      <c r="F59" s="1" t="s">
        <v>222</v>
      </c>
      <c r="G59" s="1" t="s">
        <v>223</v>
      </c>
    </row>
    <row r="60" spans="1:7" x14ac:dyDescent="0.25">
      <c r="A60" s="1" t="s">
        <v>224</v>
      </c>
      <c r="B60" s="2" t="str">
        <f>HYPERLINK("https://www.elsevier.com/locate/issn/0939-4753", "Nutrition, Metabolism and Cardiovascular Diseases")</f>
        <v>Nutrition, Metabolism and Cardiovascular Diseases</v>
      </c>
      <c r="C60" s="1" t="s">
        <v>10</v>
      </c>
      <c r="D60" s="1" t="s">
        <v>41</v>
      </c>
      <c r="E60" s="1" t="s">
        <v>42</v>
      </c>
      <c r="F60" s="1" t="s">
        <v>43</v>
      </c>
      <c r="G60" s="1" t="s">
        <v>44</v>
      </c>
    </row>
    <row r="61" spans="1:7" x14ac:dyDescent="0.25">
      <c r="A61" s="1" t="s">
        <v>225</v>
      </c>
      <c r="B61" s="2" t="str">
        <f>HYPERLINK("https://www.elsevier.com/locate/issn/2212-4403", "Oral Surgery, Oral Medicine, Oral Pathology and Oral Radiology")</f>
        <v>Oral Surgery, Oral Medicine, Oral Pathology and Oral Radiology</v>
      </c>
      <c r="C61" s="1" t="s">
        <v>10</v>
      </c>
      <c r="D61" s="1" t="s">
        <v>217</v>
      </c>
      <c r="E61" s="1" t="s">
        <v>218</v>
      </c>
      <c r="F61" s="1" t="s">
        <v>219</v>
      </c>
      <c r="G61" s="1" t="s">
        <v>220</v>
      </c>
    </row>
    <row r="62" spans="1:7" x14ac:dyDescent="0.25">
      <c r="A62" s="1" t="s">
        <v>226</v>
      </c>
      <c r="B62" s="2" t="str">
        <f>HYPERLINK("https://www.elsevier.com/locate/issn/0031-0182", "Palaeogeography, Palaeoclimatology, Palaeoecology")</f>
        <v>Palaeogeography, Palaeoclimatology, Palaeoecology</v>
      </c>
      <c r="C62" s="1" t="s">
        <v>10</v>
      </c>
      <c r="D62" s="1" t="s">
        <v>66</v>
      </c>
      <c r="E62" s="1" t="s">
        <v>41</v>
      </c>
      <c r="F62" s="1" t="s">
        <v>67</v>
      </c>
      <c r="G62" s="1" t="s">
        <v>68</v>
      </c>
    </row>
    <row r="63" spans="1:7" x14ac:dyDescent="0.25">
      <c r="A63" s="1" t="s">
        <v>227</v>
      </c>
      <c r="B63" s="2" t="str">
        <f>HYPERLINK("https://www.elsevier.com/locate/issn/1433-8319", "Perspectives in Plant Ecology, Evolution and Systematics")</f>
        <v>Perspectives in Plant Ecology, Evolution and Systematics</v>
      </c>
      <c r="C63" s="1" t="s">
        <v>10</v>
      </c>
      <c r="D63" s="1" t="s">
        <v>228</v>
      </c>
      <c r="E63" s="1" t="s">
        <v>229</v>
      </c>
      <c r="F63" s="1" t="s">
        <v>230</v>
      </c>
      <c r="G63" s="1" t="s">
        <v>231</v>
      </c>
    </row>
    <row r="64" spans="1:7" x14ac:dyDescent="0.25">
      <c r="A64" s="1" t="s">
        <v>232</v>
      </c>
      <c r="B64" s="2" t="str">
        <f>HYPERLINK("https://www.elsevier.com/locate/issn/1474-7065", "Physics and Chemistry of the Earth, Parts A/B/C")</f>
        <v>Physics and Chemistry of the Earth, Parts A/B/C</v>
      </c>
      <c r="C64" s="1" t="s">
        <v>10</v>
      </c>
      <c r="D64" s="1" t="s">
        <v>233</v>
      </c>
      <c r="E64" s="1" t="s">
        <v>139</v>
      </c>
      <c r="F64" s="1" t="s">
        <v>234</v>
      </c>
      <c r="G64" s="1" t="s">
        <v>235</v>
      </c>
    </row>
    <row r="65" spans="1:7" x14ac:dyDescent="0.25">
      <c r="A65" s="1" t="s">
        <v>236</v>
      </c>
      <c r="B65" s="2" t="str">
        <f>HYPERLINK("https://www.elsevier.com/locate/issn/0952-3278", "Prostaglandins, Leukotrienes and Essential Fatty Acids")</f>
        <v>Prostaglandins, Leukotrienes and Essential Fatty Acids</v>
      </c>
      <c r="C65" s="1" t="s">
        <v>10</v>
      </c>
      <c r="D65" s="1" t="s">
        <v>237</v>
      </c>
      <c r="E65" s="1" t="s">
        <v>75</v>
      </c>
      <c r="F65" s="1" t="s">
        <v>207</v>
      </c>
      <c r="G65" s="1" t="s">
        <v>238</v>
      </c>
    </row>
    <row r="66" spans="1:7" x14ac:dyDescent="0.25">
      <c r="A66" s="1" t="s">
        <v>239</v>
      </c>
      <c r="B66" s="2" t="str">
        <f>HYPERLINK("https://www.elsevier.com/locate/issn/2772-6231", "Redox in Muscle Physiology, Exercise, and Sport")</f>
        <v>Redox in Muscle Physiology, Exercise, and Sport</v>
      </c>
      <c r="C66" s="1" t="s">
        <v>23</v>
      </c>
      <c r="D66" s="1" t="s">
        <v>240</v>
      </c>
      <c r="E66" s="1" t="s">
        <v>241</v>
      </c>
      <c r="F66" s="1" t="s">
        <v>242</v>
      </c>
      <c r="G66" s="1" t="s">
        <v>243</v>
      </c>
    </row>
    <row r="67" spans="1:7" x14ac:dyDescent="0.25">
      <c r="A67" s="1" t="s">
        <v>244</v>
      </c>
      <c r="B67" s="2" t="str">
        <f>HYPERLINK("https://www.elsevier.com/locate/issn/0921-3449", "Resources, Conservation and Recycling")</f>
        <v>Resources, Conservation and Recycling</v>
      </c>
      <c r="C67" s="1" t="s">
        <v>10</v>
      </c>
      <c r="D67" s="1" t="s">
        <v>245</v>
      </c>
      <c r="E67" s="1" t="s">
        <v>246</v>
      </c>
      <c r="F67" s="1" t="s">
        <v>247</v>
      </c>
      <c r="G67" s="1" t="s">
        <v>248</v>
      </c>
    </row>
    <row r="68" spans="1:7" x14ac:dyDescent="0.25">
      <c r="A68" s="1" t="s">
        <v>249</v>
      </c>
      <c r="B68" s="2" t="str">
        <f>HYPERLINK("https://www.elsevier.com/locate/issn/2667-3789", "Resources, Conservation &amp; Recycling Advances")</f>
        <v>Resources, Conservation &amp; Recycling Advances</v>
      </c>
      <c r="C68" s="1" t="s">
        <v>23</v>
      </c>
      <c r="D68" s="1" t="s">
        <v>129</v>
      </c>
      <c r="E68" s="1" t="s">
        <v>250</v>
      </c>
      <c r="F68" s="1" t="s">
        <v>251</v>
      </c>
      <c r="G68" s="1" t="s">
        <v>252</v>
      </c>
    </row>
    <row r="69" spans="1:7" x14ac:dyDescent="0.25">
      <c r="A69" s="1" t="s">
        <v>253</v>
      </c>
      <c r="B69" s="2" t="str">
        <f>HYPERLINK("https://www.elsevier.com/locate/issn/2666-9161", "Resources, Environment and Sustainability")</f>
        <v>Resources, Environment and Sustainability</v>
      </c>
      <c r="C69" s="1" t="s">
        <v>23</v>
      </c>
      <c r="D69" s="1" t="s">
        <v>24</v>
      </c>
      <c r="E69" s="1" t="s">
        <v>25</v>
      </c>
      <c r="F69" s="1" t="s">
        <v>26</v>
      </c>
      <c r="G69" s="1" t="s">
        <v>27</v>
      </c>
    </row>
    <row r="70" spans="1:7" x14ac:dyDescent="0.25">
      <c r="A70" s="1" t="s">
        <v>254</v>
      </c>
      <c r="B70" s="2" t="str">
        <f>HYPERLINK("https://www.elsevier.com/locate/issn/0214-4603", "Revista de Logopedia, Foniatría y Audiología")</f>
        <v>Revista de Logopedia, Foniatría y Audiología</v>
      </c>
      <c r="C70" s="1" t="s">
        <v>10</v>
      </c>
      <c r="D70" s="1" t="s">
        <v>255</v>
      </c>
      <c r="E70" s="1" t="s">
        <v>87</v>
      </c>
      <c r="F70" s="1" t="s">
        <v>256</v>
      </c>
      <c r="G70" s="1" t="s">
        <v>257</v>
      </c>
    </row>
    <row r="71" spans="1:7" x14ac:dyDescent="0.25">
      <c r="A71" s="1" t="s">
        <v>258</v>
      </c>
      <c r="B71" s="2" t="str">
        <f>HYPERLINK("https://www.elsevier.com/locate/issn/0887-2171", "Seminars in Ultrasound, CT and MRI")</f>
        <v>Seminars in Ultrasound, CT and MRI</v>
      </c>
      <c r="C71" s="1" t="s">
        <v>10</v>
      </c>
      <c r="D71" s="1" t="s">
        <v>259</v>
      </c>
      <c r="E71" s="1" t="s">
        <v>260</v>
      </c>
      <c r="F71" s="1" t="s">
        <v>261</v>
      </c>
      <c r="G71" s="1" t="s">
        <v>262</v>
      </c>
    </row>
    <row r="72" spans="1:7" x14ac:dyDescent="0.25">
      <c r="A72" s="1" t="s">
        <v>263</v>
      </c>
      <c r="B72" s="2" t="str">
        <f>HYPERLINK("https://www.elsevier.com/locate/issn/2405-8726", "She Ji: The Journal of Design, Economics, and Innovation")</f>
        <v>She Ji: The Journal of Design, Economics, and Innovation</v>
      </c>
      <c r="C72" s="1" t="s">
        <v>23</v>
      </c>
      <c r="D72" s="1" t="s">
        <v>240</v>
      </c>
      <c r="E72" s="1" t="s">
        <v>241</v>
      </c>
      <c r="F72" s="1" t="s">
        <v>242</v>
      </c>
      <c r="G72" s="1" t="s">
        <v>243</v>
      </c>
    </row>
    <row r="73" spans="1:7" x14ac:dyDescent="0.25">
      <c r="A73" s="1" t="s">
        <v>264</v>
      </c>
      <c r="B73" s="2" t="str">
        <f>HYPERLINK("https://www.elsevier.com/locate/issn/2773-2339", "Social and Emotional Learning: Research, Practice, and Policy")</f>
        <v>Social and Emotional Learning: Research, Practice, and Policy</v>
      </c>
      <c r="C73" s="1" t="s">
        <v>23</v>
      </c>
      <c r="D73" s="1" t="s">
        <v>62</v>
      </c>
      <c r="E73" s="1" t="s">
        <v>212</v>
      </c>
      <c r="F73" s="1" t="s">
        <v>265</v>
      </c>
      <c r="G73" s="1" t="s">
        <v>266</v>
      </c>
    </row>
    <row r="74" spans="1:7" x14ac:dyDescent="0.25">
      <c r="A74" s="1" t="s">
        <v>267</v>
      </c>
      <c r="B74" s="2" t="str">
        <f>HYPERLINK("https://www.elsevier.com/locate/issn/2352-4677", "Sustainable Energy, Grids and Networks")</f>
        <v>Sustainable Energy, Grids and Networks</v>
      </c>
      <c r="C74" s="1" t="s">
        <v>10</v>
      </c>
      <c r="D74" s="1" t="s">
        <v>268</v>
      </c>
      <c r="E74" s="1" t="s">
        <v>269</v>
      </c>
      <c r="F74" s="1" t="s">
        <v>270</v>
      </c>
      <c r="G74" s="1" t="s">
        <v>271</v>
      </c>
    </row>
    <row r="75" spans="1:7" x14ac:dyDescent="0.25">
      <c r="A75" s="1" t="s">
        <v>272</v>
      </c>
      <c r="B75" s="2" t="str">
        <f>HYPERLINK("https://www.elsevier.com/locate/issn/2950-4929", "Sustainable Geosciences: People, Planet and Prosperity")</f>
        <v>Sustainable Geosciences: People, Planet and Prosperity</v>
      </c>
      <c r="C75" s="1" t="s">
        <v>23</v>
      </c>
      <c r="D75" s="1" t="s">
        <v>222</v>
      </c>
      <c r="E75" s="1" t="s">
        <v>130</v>
      </c>
      <c r="F75" s="1" t="s">
        <v>273</v>
      </c>
      <c r="G75" s="1" t="s">
        <v>274</v>
      </c>
    </row>
    <row r="76" spans="1:7" ht="30" x14ac:dyDescent="0.25">
      <c r="A76" s="1" t="s">
        <v>275</v>
      </c>
      <c r="B76" s="2" t="str">
        <f>HYPERLINK("https://www.elsevier.com/locate/issn/2950-3868", "The American Journal of Geriatric Psychiatry: Open Science, Education, and Practice")</f>
        <v>The American Journal of Geriatric Psychiatry: Open Science, Education, and Practice</v>
      </c>
      <c r="C76" s="1" t="s">
        <v>23</v>
      </c>
      <c r="D76" s="1" t="s">
        <v>47</v>
      </c>
      <c r="E76" s="1" t="s">
        <v>182</v>
      </c>
      <c r="F76" s="1" t="s">
        <v>183</v>
      </c>
      <c r="G76" s="1" t="s">
        <v>184</v>
      </c>
    </row>
    <row r="77" spans="1:7" x14ac:dyDescent="0.25">
      <c r="A77" s="1" t="s">
        <v>276</v>
      </c>
      <c r="B77" s="2" t="str">
        <f>HYPERLINK("https://www.elsevier.com/locate/issn/1279-7707", "The Journal of nutrition, health and aging")</f>
        <v>The Journal of nutrition, health and aging</v>
      </c>
      <c r="C77" s="1" t="s">
        <v>23</v>
      </c>
      <c r="D77" s="1" t="s">
        <v>277</v>
      </c>
      <c r="E77" s="1" t="s">
        <v>11</v>
      </c>
      <c r="F77" s="1" t="s">
        <v>268</v>
      </c>
      <c r="G77" s="1" t="s">
        <v>278</v>
      </c>
    </row>
    <row r="78" spans="1:7" x14ac:dyDescent="0.25">
      <c r="A78" s="1" t="s">
        <v>279</v>
      </c>
      <c r="B78" s="2" t="str">
        <f>HYPERLINK("https://www.elsevier.com/locate/issn/3050-5038", "The Lancet Obstetrics, Gynaecology, &amp; Women’s Health")</f>
        <v>The Lancet Obstetrics, Gynaecology, &amp; Women’s Health</v>
      </c>
      <c r="C78" s="1" t="s">
        <v>10</v>
      </c>
      <c r="D78" s="1" t="s">
        <v>280</v>
      </c>
      <c r="E78" s="1" t="s">
        <v>281</v>
      </c>
      <c r="F78" s="1" t="s">
        <v>282</v>
      </c>
      <c r="G78" s="1" t="s">
        <v>283</v>
      </c>
    </row>
    <row r="79" spans="1:7" x14ac:dyDescent="0.25">
      <c r="A79" s="1" t="s">
        <v>284</v>
      </c>
      <c r="B79" s="2" t="str">
        <f>HYPERLINK("https://www.elsevier.com/locate/issn/2666-7193", "Trees, Forests and People")</f>
        <v>Trees, Forests and People</v>
      </c>
      <c r="C79" s="1" t="s">
        <v>23</v>
      </c>
      <c r="D79" s="1" t="s">
        <v>273</v>
      </c>
      <c r="E79" s="1" t="s">
        <v>285</v>
      </c>
      <c r="F79" s="1" t="s">
        <v>286</v>
      </c>
      <c r="G79" s="1" t="s">
        <v>287</v>
      </c>
    </row>
    <row r="80" spans="1:7" x14ac:dyDescent="0.25">
      <c r="A80" s="1" t="s">
        <v>288</v>
      </c>
      <c r="B80" s="2" t="str">
        <f>HYPERLINK("https://www.elsevier.com/locate/issn/2666-5581", "Wellbeing, Space and Society")</f>
        <v>Wellbeing, Space and Society</v>
      </c>
      <c r="C80" s="1" t="s">
        <v>23</v>
      </c>
      <c r="D80" s="1" t="s">
        <v>289</v>
      </c>
      <c r="E80" s="1" t="s">
        <v>290</v>
      </c>
      <c r="F80" s="1" t="s">
        <v>291</v>
      </c>
      <c r="G80" s="1" t="s">
        <v>292</v>
      </c>
    </row>
    <row r="81" spans="1:7" x14ac:dyDescent="0.25">
      <c r="A81" s="1" t="s">
        <v>293</v>
      </c>
      <c r="B81" s="2" t="str">
        <f>HYPERLINK("https://www.elsevier.com/locate/issn/1865-9217", "Zeitschrift für Evidenz, Fortbildung und Qualität im Gesundheitswesen")</f>
        <v>Zeitschrift für Evidenz, Fortbildung und Qualität im Gesundheitswesen</v>
      </c>
      <c r="C81" s="1" t="s">
        <v>10</v>
      </c>
      <c r="D81" s="1" t="s">
        <v>230</v>
      </c>
      <c r="E81" s="1" t="s">
        <v>124</v>
      </c>
      <c r="F81" s="1" t="s">
        <v>129</v>
      </c>
      <c r="G81" s="1" t="s">
        <v>294</v>
      </c>
    </row>
    <row r="82" spans="1:7" x14ac:dyDescent="0.25">
      <c r="A82" s="1" t="s">
        <v>295</v>
      </c>
      <c r="B82" s="2" t="str">
        <f>HYPERLINK("https://www.elsevier.com/locate/issn/3050-9157", "AACE Endocrinology and Diabetes")</f>
        <v>AACE Endocrinology and Diabetes</v>
      </c>
      <c r="C82" s="1" t="s">
        <v>23</v>
      </c>
      <c r="D82" s="1">
        <v>1350</v>
      </c>
      <c r="E82" s="1">
        <v>840</v>
      </c>
      <c r="F82" s="1">
        <v>1080</v>
      </c>
      <c r="G82" s="1">
        <v>167440</v>
      </c>
    </row>
    <row r="83" spans="1:7" x14ac:dyDescent="0.25">
      <c r="A83" s="1" t="s">
        <v>296</v>
      </c>
      <c r="B83" s="2" t="str">
        <f>HYPERLINK("https://www.elsevier.com/locate/issn/2662-1738", "aBIOTECH")</f>
        <v>aBIOTECH</v>
      </c>
      <c r="C83" s="1" t="s">
        <v>23</v>
      </c>
      <c r="D83" s="1">
        <v>2500</v>
      </c>
      <c r="E83" s="1">
        <v>2340</v>
      </c>
      <c r="F83" s="1">
        <v>2000</v>
      </c>
      <c r="G83" s="1">
        <v>310080</v>
      </c>
    </row>
    <row r="84" spans="1:7" x14ac:dyDescent="0.25">
      <c r="A84" s="1" t="s">
        <v>297</v>
      </c>
      <c r="B84" s="2" t="str">
        <f>HYPERLINK("https://www.elsevier.com/locate/issn/2374-2895", "Academic Pathology")</f>
        <v>Academic Pathology</v>
      </c>
      <c r="C84" s="1" t="s">
        <v>23</v>
      </c>
      <c r="D84" s="1">
        <v>1950</v>
      </c>
      <c r="E84" s="1">
        <v>1820</v>
      </c>
      <c r="F84" s="1">
        <v>1560</v>
      </c>
      <c r="G84" s="1">
        <v>241860</v>
      </c>
    </row>
    <row r="85" spans="1:7" x14ac:dyDescent="0.25">
      <c r="A85" s="1" t="s">
        <v>298</v>
      </c>
      <c r="B85" s="2" t="str">
        <f>HYPERLINK("https://www.elsevier.com/locate/issn/1876-2859", "Academic Pediatrics")</f>
        <v>Academic Pediatrics</v>
      </c>
      <c r="C85" s="1" t="s">
        <v>10</v>
      </c>
      <c r="D85" s="1">
        <v>3600</v>
      </c>
      <c r="E85" s="1">
        <v>3370</v>
      </c>
      <c r="F85" s="1">
        <v>2880</v>
      </c>
      <c r="G85" s="1">
        <v>446510</v>
      </c>
    </row>
    <row r="86" spans="1:7" x14ac:dyDescent="0.25">
      <c r="A86" s="1" t="s">
        <v>299</v>
      </c>
      <c r="B86" s="2" t="str">
        <f>HYPERLINK("https://www.elsevier.com/locate/issn/1076-6332", "Academic Radiology")</f>
        <v>Academic Radiology</v>
      </c>
      <c r="C86" s="1" t="s">
        <v>10</v>
      </c>
      <c r="D86" s="1">
        <v>3510</v>
      </c>
      <c r="E86" s="1">
        <v>3280</v>
      </c>
      <c r="F86" s="1">
        <v>2810</v>
      </c>
      <c r="G86" s="1">
        <v>435350</v>
      </c>
    </row>
    <row r="87" spans="1:7" x14ac:dyDescent="0.25">
      <c r="A87" s="1" t="s">
        <v>300</v>
      </c>
      <c r="B87" s="2" t="str">
        <f>HYPERLINK("https://www.elsevier.com/locate/issn/0001-4575", "Accident Analysis &amp; Prevention")</f>
        <v>Accident Analysis &amp; Prevention</v>
      </c>
      <c r="C87" s="1" t="s">
        <v>10</v>
      </c>
      <c r="D87" s="1">
        <v>4150</v>
      </c>
      <c r="E87" s="1">
        <v>3880</v>
      </c>
      <c r="F87" s="1">
        <v>3320</v>
      </c>
      <c r="G87" s="1">
        <v>514720</v>
      </c>
    </row>
    <row r="88" spans="1:7" x14ac:dyDescent="0.25">
      <c r="A88" s="1" t="s">
        <v>301</v>
      </c>
      <c r="B88" s="2" t="str">
        <f>HYPERLINK("https://www.elsevier.com/locate/issn/3050-5461", "Accounting Open")</f>
        <v>Accounting Open</v>
      </c>
      <c r="C88" s="1" t="s">
        <v>23</v>
      </c>
      <c r="D88" s="1">
        <v>1800</v>
      </c>
      <c r="E88" s="1">
        <v>1680</v>
      </c>
      <c r="F88" s="1">
        <v>1440</v>
      </c>
      <c r="G88" s="1">
        <v>223250</v>
      </c>
    </row>
    <row r="89" spans="1:7" x14ac:dyDescent="0.25">
      <c r="A89" s="1" t="s">
        <v>302</v>
      </c>
      <c r="B89" s="2" t="str">
        <f>HYPERLINK("https://www.elsevier.com/locate/issn/2949-9453", "Accounting Theory and Practice")</f>
        <v>Accounting Theory and Practice</v>
      </c>
      <c r="C89" s="1" t="s">
        <v>23</v>
      </c>
      <c r="D89" s="1">
        <v>1500</v>
      </c>
      <c r="E89" s="1">
        <v>1400</v>
      </c>
      <c r="F89" s="1">
        <v>1200</v>
      </c>
      <c r="G89" s="1">
        <v>186050</v>
      </c>
    </row>
    <row r="90" spans="1:7" x14ac:dyDescent="0.25">
      <c r="A90" s="1" t="s">
        <v>303</v>
      </c>
      <c r="B90" s="2" t="str">
        <f>HYPERLINK("https://www.elsevier.com/locate/issn/0094-5765", "Acta Astronautica")</f>
        <v>Acta Astronautica</v>
      </c>
      <c r="C90" s="1" t="s">
        <v>10</v>
      </c>
      <c r="D90" s="1">
        <v>3550</v>
      </c>
      <c r="E90" s="1">
        <v>3320</v>
      </c>
      <c r="F90" s="1">
        <v>2840</v>
      </c>
      <c r="G90" s="1">
        <v>440310</v>
      </c>
    </row>
    <row r="91" spans="1:7" x14ac:dyDescent="0.25">
      <c r="A91" s="1" t="s">
        <v>304</v>
      </c>
      <c r="B91" s="2" t="str">
        <f>HYPERLINK("https://www.elsevier.com/locate/issn/1742-7061", "Acta Biomaterialia")</f>
        <v>Acta Biomaterialia</v>
      </c>
      <c r="C91" s="1" t="s">
        <v>10</v>
      </c>
      <c r="D91" s="1">
        <v>3810</v>
      </c>
      <c r="E91" s="1">
        <v>3560</v>
      </c>
      <c r="F91" s="1">
        <v>3050</v>
      </c>
      <c r="G91" s="1">
        <v>472550</v>
      </c>
    </row>
    <row r="92" spans="1:7" x14ac:dyDescent="0.25">
      <c r="A92" s="1" t="s">
        <v>305</v>
      </c>
      <c r="B92" s="2" t="str">
        <f>HYPERLINK("https://www.elsevier.com/locate/issn/0122-7262", "Acta Colombiana de Cuidado Intensivo")</f>
        <v>Acta Colombiana de Cuidado Intensivo</v>
      </c>
      <c r="C92" s="1" t="s">
        <v>10</v>
      </c>
      <c r="D92" s="1">
        <v>1920</v>
      </c>
      <c r="E92" s="1">
        <v>1750</v>
      </c>
      <c r="F92" s="1">
        <v>1540</v>
      </c>
      <c r="G92" s="1">
        <v>238140</v>
      </c>
    </row>
    <row r="93" spans="1:7" x14ac:dyDescent="0.25">
      <c r="A93" s="1" t="s">
        <v>306</v>
      </c>
      <c r="B93" s="2" t="str">
        <f>HYPERLINK("https://www.elsevier.com/locate/issn/0065-1281", "Acta Histochemica")</f>
        <v>Acta Histochemica</v>
      </c>
      <c r="C93" s="1" t="s">
        <v>10</v>
      </c>
      <c r="D93" s="1">
        <v>2940</v>
      </c>
      <c r="E93" s="1">
        <v>2750</v>
      </c>
      <c r="F93" s="1">
        <v>2350</v>
      </c>
      <c r="G93" s="1">
        <v>364650</v>
      </c>
    </row>
    <row r="94" spans="1:7" x14ac:dyDescent="0.25">
      <c r="A94" s="1" t="s">
        <v>307</v>
      </c>
      <c r="B94" s="2" t="str">
        <f>HYPERLINK("https://www.elsevier.com/locate/issn/1359-6454", "Acta Materialia")</f>
        <v>Acta Materialia</v>
      </c>
      <c r="C94" s="1" t="s">
        <v>10</v>
      </c>
      <c r="D94" s="1">
        <v>3700</v>
      </c>
      <c r="E94" s="1">
        <v>3460</v>
      </c>
      <c r="F94" s="1">
        <v>2960</v>
      </c>
      <c r="G94" s="1">
        <v>458910</v>
      </c>
    </row>
    <row r="95" spans="1:7" x14ac:dyDescent="0.25">
      <c r="A95" s="1" t="s">
        <v>308</v>
      </c>
      <c r="B95" s="2" t="str">
        <f>HYPERLINK("https://www.elsevier.com/locate/issn/1146-609X", "Acta Oecologica")</f>
        <v>Acta Oecologica</v>
      </c>
      <c r="C95" s="1" t="s">
        <v>10</v>
      </c>
      <c r="D95" s="1">
        <v>3210</v>
      </c>
      <c r="E95" s="1">
        <v>3000</v>
      </c>
      <c r="F95" s="1">
        <v>2570</v>
      </c>
      <c r="G95" s="1">
        <v>398140</v>
      </c>
    </row>
    <row r="96" spans="1:7" x14ac:dyDescent="0.25">
      <c r="A96" s="1" t="s">
        <v>309</v>
      </c>
      <c r="B96" s="2" t="str">
        <f>HYPERLINK("https://www.elsevier.com/locate/issn/2173-5735", "Acta Otorrinolaringologica (English Edition)")</f>
        <v>Acta Otorrinolaringologica (English Edition)</v>
      </c>
      <c r="C96" s="1" t="s">
        <v>10</v>
      </c>
      <c r="D96" s="1">
        <v>2880</v>
      </c>
      <c r="E96" s="1">
        <v>2690</v>
      </c>
      <c r="F96" s="1">
        <v>2310</v>
      </c>
      <c r="G96" s="1">
        <v>357210</v>
      </c>
    </row>
    <row r="97" spans="1:7" x14ac:dyDescent="0.25">
      <c r="A97" s="1" t="s">
        <v>310</v>
      </c>
      <c r="B97" s="2" t="str">
        <f>HYPERLINK("https://www.elsevier.com/locate/issn/0001-6519", "Acta Otorrinolaringológica Española")</f>
        <v>Acta Otorrinolaringológica Española</v>
      </c>
      <c r="C97" s="1" t="s">
        <v>10</v>
      </c>
      <c r="D97" s="1">
        <v>2880</v>
      </c>
      <c r="E97" s="1">
        <v>2630</v>
      </c>
      <c r="F97" s="1">
        <v>2310</v>
      </c>
      <c r="G97" s="1">
        <v>357210</v>
      </c>
    </row>
    <row r="98" spans="1:7" x14ac:dyDescent="0.25">
      <c r="A98" s="1" t="s">
        <v>311</v>
      </c>
      <c r="B98" s="2" t="str">
        <f>HYPERLINK("https://www.elsevier.com/locate/issn/2211-3835", "Acta Pharmaceutica Sinica B")</f>
        <v>Acta Pharmaceutica Sinica B</v>
      </c>
      <c r="C98" s="1" t="s">
        <v>23</v>
      </c>
      <c r="D98" s="1">
        <v>2600</v>
      </c>
      <c r="E98" s="1">
        <v>2430</v>
      </c>
      <c r="F98" s="1">
        <v>2080</v>
      </c>
      <c r="G98" s="1">
        <v>322480</v>
      </c>
    </row>
    <row r="99" spans="1:7" x14ac:dyDescent="0.25">
      <c r="A99" s="1" t="s">
        <v>312</v>
      </c>
      <c r="B99" s="2" t="str">
        <f>HYPERLINK("https://www.elsevier.com/locate/issn/1000-6818", "Acta Physico-Chimica Sinica")</f>
        <v>Acta Physico-Chimica Sinica</v>
      </c>
      <c r="C99" s="1" t="s">
        <v>10</v>
      </c>
      <c r="D99" s="1">
        <v>4500</v>
      </c>
      <c r="E99" s="1">
        <v>4210</v>
      </c>
      <c r="F99" s="1">
        <v>3600</v>
      </c>
      <c r="G99" s="1">
        <v>558140</v>
      </c>
    </row>
    <row r="100" spans="1:7" x14ac:dyDescent="0.25">
      <c r="A100" s="1" t="s">
        <v>313</v>
      </c>
      <c r="B100" s="2" t="str">
        <f>HYPERLINK("https://www.elsevier.com/locate/issn/0001-6918", "Acta Psychologica")</f>
        <v>Acta Psychologica</v>
      </c>
      <c r="C100" s="1" t="s">
        <v>23</v>
      </c>
      <c r="D100" s="1">
        <v>2430</v>
      </c>
      <c r="E100" s="1">
        <v>2270</v>
      </c>
      <c r="F100" s="1">
        <v>1950</v>
      </c>
      <c r="G100" s="1">
        <v>301390</v>
      </c>
    </row>
    <row r="101" spans="1:7" x14ac:dyDescent="0.25">
      <c r="A101" s="1" t="s">
        <v>314</v>
      </c>
      <c r="B101" s="2" t="str">
        <f>HYPERLINK("https://www.elsevier.com/locate/issn/0001-706X", "Acta Tropica")</f>
        <v>Acta Tropica</v>
      </c>
      <c r="C101" s="1" t="s">
        <v>10</v>
      </c>
      <c r="D101" s="1">
        <v>3160</v>
      </c>
      <c r="E101" s="1">
        <v>2960</v>
      </c>
      <c r="F101" s="1">
        <v>2530</v>
      </c>
      <c r="G101" s="1">
        <v>391930</v>
      </c>
    </row>
    <row r="102" spans="1:7" x14ac:dyDescent="0.25">
      <c r="A102" s="1" t="s">
        <v>315</v>
      </c>
      <c r="B102" s="2" t="str">
        <f>HYPERLINK("https://www.elsevier.com/locate/issn/0001-7310", "Actas Dermo-Sifiliograficas")</f>
        <v>Actas Dermo-Sifiliograficas</v>
      </c>
      <c r="C102" s="1" t="s">
        <v>23</v>
      </c>
      <c r="D102" s="1">
        <v>2080</v>
      </c>
      <c r="E102" s="1">
        <v>1900</v>
      </c>
      <c r="F102" s="1">
        <v>1670</v>
      </c>
      <c r="G102" s="1">
        <v>258370</v>
      </c>
    </row>
    <row r="103" spans="1:7" x14ac:dyDescent="0.25">
      <c r="A103" s="1" t="s">
        <v>316</v>
      </c>
      <c r="B103" s="2" t="str">
        <f>HYPERLINK("https://www.elsevier.com/locate/issn/0210-4806", "Actas Urológicas Españolas")</f>
        <v>Actas Urológicas Españolas</v>
      </c>
      <c r="C103" s="1" t="s">
        <v>10</v>
      </c>
      <c r="D103" s="1">
        <v>2760</v>
      </c>
      <c r="E103" s="1">
        <v>2580</v>
      </c>
      <c r="F103" s="1">
        <v>2210</v>
      </c>
      <c r="G103" s="1">
        <v>342320</v>
      </c>
    </row>
    <row r="104" spans="1:7" x14ac:dyDescent="0.25">
      <c r="A104" s="1" t="s">
        <v>317</v>
      </c>
      <c r="B104" s="2" t="str">
        <f>HYPERLINK("https://www.elsevier.com/locate/issn/2173-5786", "Actas Urológicas Españolas (English Edition)")</f>
        <v>Actas Urológicas Españolas (English Edition)</v>
      </c>
      <c r="C104" s="1" t="s">
        <v>10</v>
      </c>
      <c r="D104" s="1">
        <v>2760</v>
      </c>
      <c r="E104" s="1">
        <v>2580</v>
      </c>
      <c r="F104" s="1">
        <v>2210</v>
      </c>
      <c r="G104" s="1">
        <v>342320</v>
      </c>
    </row>
    <row r="105" spans="1:7" x14ac:dyDescent="0.25">
      <c r="A105" s="1" t="s">
        <v>318</v>
      </c>
      <c r="B105" s="2" t="str">
        <f>HYPERLINK("https://www.elsevier.com/locate/issn/1570-8705", "Ad Hoc Networks")</f>
        <v>Ad Hoc Networks</v>
      </c>
      <c r="C105" s="1" t="s">
        <v>10</v>
      </c>
      <c r="D105" s="1">
        <v>3040</v>
      </c>
      <c r="E105" s="1">
        <v>2840</v>
      </c>
      <c r="F105" s="1">
        <v>2430</v>
      </c>
      <c r="G105" s="1">
        <v>377050</v>
      </c>
    </row>
    <row r="106" spans="1:7" x14ac:dyDescent="0.25">
      <c r="A106" s="1" t="s">
        <v>319</v>
      </c>
      <c r="B106" s="2" t="str">
        <f>HYPERLINK("https://www.elsevier.com/locate/issn/2772-3925", "Addiction Neuroscience")</f>
        <v>Addiction Neuroscience</v>
      </c>
      <c r="C106" s="1" t="s">
        <v>23</v>
      </c>
      <c r="D106" s="1">
        <v>2660</v>
      </c>
      <c r="E106" s="1">
        <v>2490</v>
      </c>
      <c r="F106" s="1">
        <v>2130</v>
      </c>
      <c r="G106" s="1">
        <v>329920</v>
      </c>
    </row>
    <row r="107" spans="1:7" x14ac:dyDescent="0.25">
      <c r="A107" s="1" t="s">
        <v>320</v>
      </c>
      <c r="B107" s="2" t="str">
        <f>HYPERLINK("https://www.elsevier.com/locate/issn/0306-4603", "Addictive Behaviors")</f>
        <v>Addictive Behaviors</v>
      </c>
      <c r="C107" s="1" t="s">
        <v>10</v>
      </c>
      <c r="D107" s="1">
        <v>4450</v>
      </c>
      <c r="E107" s="1">
        <v>4160</v>
      </c>
      <c r="F107" s="1">
        <v>3560</v>
      </c>
      <c r="G107" s="1">
        <v>551930</v>
      </c>
    </row>
    <row r="108" spans="1:7" x14ac:dyDescent="0.25">
      <c r="A108" s="1" t="s">
        <v>321</v>
      </c>
      <c r="B108" s="2" t="str">
        <f>HYPERLINK("https://www.elsevier.com/locate/issn/2352-8532", "Addictive Behaviors Reports")</f>
        <v>Addictive Behaviors Reports</v>
      </c>
      <c r="C108" s="1" t="s">
        <v>23</v>
      </c>
      <c r="D108" s="1">
        <v>3330</v>
      </c>
      <c r="E108" s="1">
        <v>3120</v>
      </c>
      <c r="F108" s="1">
        <v>2670</v>
      </c>
      <c r="G108" s="1">
        <v>413020</v>
      </c>
    </row>
    <row r="109" spans="1:7" x14ac:dyDescent="0.25">
      <c r="A109" s="1" t="s">
        <v>322</v>
      </c>
      <c r="B109" s="2" t="str">
        <f>HYPERLINK("https://www.elsevier.com/locate/issn/2214-8604", "Additive Manufacturing")</f>
        <v>Additive Manufacturing</v>
      </c>
      <c r="C109" s="1" t="s">
        <v>10</v>
      </c>
      <c r="D109" s="1">
        <v>4430</v>
      </c>
      <c r="E109" s="1">
        <v>4140</v>
      </c>
      <c r="F109" s="1">
        <v>3550</v>
      </c>
      <c r="G109" s="1">
        <v>549450</v>
      </c>
    </row>
    <row r="110" spans="1:7" x14ac:dyDescent="0.25">
      <c r="A110" s="1" t="s">
        <v>323</v>
      </c>
      <c r="B110" s="2" t="str">
        <f>HYPERLINK("https://www.elsevier.com/locate/issn/2950-4317", "Additive Manufacturing Frontiers")</f>
        <v>Additive Manufacturing Frontiers</v>
      </c>
      <c r="C110" s="1" t="s">
        <v>34</v>
      </c>
      <c r="D110" s="1" t="s">
        <v>324</v>
      </c>
      <c r="E110" s="1" t="s">
        <v>324</v>
      </c>
      <c r="F110" s="1" t="s">
        <v>324</v>
      </c>
      <c r="G110" s="1" t="s">
        <v>324</v>
      </c>
    </row>
    <row r="111" spans="1:7" x14ac:dyDescent="0.25">
      <c r="A111" s="1" t="s">
        <v>325</v>
      </c>
      <c r="B111" s="2" t="str">
        <f>HYPERLINK("https://www.elsevier.com/locate/issn/2772-3690", "Additive Manufacturing Letters")</f>
        <v>Additive Manufacturing Letters</v>
      </c>
      <c r="C111" s="1" t="s">
        <v>23</v>
      </c>
      <c r="D111" s="1">
        <v>1470</v>
      </c>
      <c r="E111" s="1">
        <v>1380</v>
      </c>
      <c r="F111" s="1">
        <v>1180</v>
      </c>
      <c r="G111" s="1">
        <v>182320</v>
      </c>
    </row>
    <row r="112" spans="1:7" x14ac:dyDescent="0.25">
      <c r="A112" s="1" t="s">
        <v>326</v>
      </c>
      <c r="B112" s="2" t="str">
        <f>HYPERLINK("https://www.elsevier.com/locate/issn/2773-2371", "Advanced AgroChem")</f>
        <v>Advanced AgroChem</v>
      </c>
      <c r="C112" s="1" t="s">
        <v>34</v>
      </c>
      <c r="D112" s="1" t="s">
        <v>324</v>
      </c>
      <c r="E112" s="1" t="s">
        <v>324</v>
      </c>
      <c r="F112" s="1" t="s">
        <v>324</v>
      </c>
      <c r="G112" s="1" t="s">
        <v>324</v>
      </c>
    </row>
    <row r="113" spans="1:7" x14ac:dyDescent="0.25">
      <c r="A113" s="1" t="s">
        <v>327</v>
      </c>
      <c r="B113" s="2" t="str">
        <f>HYPERLINK("https://www.elsevier.com/locate/issn/2950-3876", "Advanced Bionics")</f>
        <v>Advanced Bionics</v>
      </c>
      <c r="C113" s="1" t="s">
        <v>34</v>
      </c>
      <c r="D113" s="1" t="s">
        <v>324</v>
      </c>
      <c r="E113" s="1" t="s">
        <v>324</v>
      </c>
      <c r="F113" s="1" t="s">
        <v>324</v>
      </c>
      <c r="G113" s="1" t="s">
        <v>324</v>
      </c>
    </row>
    <row r="114" spans="1:7" x14ac:dyDescent="0.25">
      <c r="A114" s="1" t="s">
        <v>328</v>
      </c>
      <c r="B114" s="2" t="str">
        <f>HYPERLINK("https://www.elsevier.com/locate/issn/2949-7825", "Advanced Design Research")</f>
        <v>Advanced Design Research</v>
      </c>
      <c r="C114" s="1" t="s">
        <v>34</v>
      </c>
      <c r="D114" s="1" t="s">
        <v>324</v>
      </c>
      <c r="E114" s="1" t="s">
        <v>324</v>
      </c>
      <c r="F114" s="1" t="s">
        <v>324</v>
      </c>
      <c r="G114" s="1" t="s">
        <v>324</v>
      </c>
    </row>
    <row r="115" spans="1:7" x14ac:dyDescent="0.25">
      <c r="A115" s="1" t="s">
        <v>329</v>
      </c>
      <c r="B115" s="2" t="str">
        <f>HYPERLINK("https://www.elsevier.com/locate/issn/0169-409X", "Advanced Drug Delivery Reviews")</f>
        <v>Advanced Drug Delivery Reviews</v>
      </c>
      <c r="C115" s="1" t="s">
        <v>10</v>
      </c>
      <c r="D115" s="1">
        <v>5550</v>
      </c>
      <c r="E115" s="1">
        <v>5190</v>
      </c>
      <c r="F115" s="1">
        <v>4440</v>
      </c>
      <c r="G115" s="1">
        <v>688370</v>
      </c>
    </row>
    <row r="116" spans="1:7" x14ac:dyDescent="0.25">
      <c r="A116" s="1" t="s">
        <v>330</v>
      </c>
      <c r="B116" s="2" t="str">
        <f>HYPERLINK("https://www.elsevier.com/locate/issn/1474-0346", "Advanced Engineering Informatics")</f>
        <v>Advanced Engineering Informatics</v>
      </c>
      <c r="C116" s="1" t="s">
        <v>10</v>
      </c>
      <c r="D116" s="1">
        <v>3560</v>
      </c>
      <c r="E116" s="1">
        <v>3330</v>
      </c>
      <c r="F116" s="1">
        <v>2850</v>
      </c>
      <c r="G116" s="1">
        <v>441550</v>
      </c>
    </row>
    <row r="117" spans="1:7" x14ac:dyDescent="0.25">
      <c r="A117" s="1" t="s">
        <v>331</v>
      </c>
      <c r="B117" s="2" t="str">
        <f>HYPERLINK("https://www.elsevier.com/locate/issn/2950-273X", "Advanced Exercise and Health Science")</f>
        <v>Advanced Exercise and Health Science</v>
      </c>
      <c r="C117" s="1" t="s">
        <v>34</v>
      </c>
      <c r="D117" s="1" t="s">
        <v>324</v>
      </c>
      <c r="E117" s="1" t="s">
        <v>324</v>
      </c>
      <c r="F117" s="1" t="s">
        <v>324</v>
      </c>
      <c r="G117" s="1" t="s">
        <v>324</v>
      </c>
    </row>
    <row r="118" spans="1:7" x14ac:dyDescent="0.25">
      <c r="A118" s="1" t="s">
        <v>332</v>
      </c>
      <c r="B118" s="2" t="str">
        <f>HYPERLINK("https://www.elsevier.com/locate/issn/2542-5048", "Advanced Industrial and Engineering Polymer Research")</f>
        <v>Advanced Industrial and Engineering Polymer Research</v>
      </c>
      <c r="C118" s="1" t="s">
        <v>34</v>
      </c>
      <c r="D118" s="1" t="s">
        <v>324</v>
      </c>
      <c r="E118" s="1" t="s">
        <v>324</v>
      </c>
      <c r="F118" s="1" t="s">
        <v>324</v>
      </c>
      <c r="G118" s="1" t="s">
        <v>324</v>
      </c>
    </row>
    <row r="119" spans="1:7" x14ac:dyDescent="0.25">
      <c r="A119" s="1" t="s">
        <v>333</v>
      </c>
      <c r="B119" s="2" t="str">
        <f>HYPERLINK("https://www.elsevier.com/locate/issn/3051-1577", "Advanced Interventional Materials")</f>
        <v>Advanced Interventional Materials</v>
      </c>
      <c r="C119" s="1" t="s">
        <v>34</v>
      </c>
      <c r="D119" s="1" t="s">
        <v>324</v>
      </c>
      <c r="E119" s="1" t="s">
        <v>324</v>
      </c>
      <c r="F119" s="1" t="s">
        <v>324</v>
      </c>
      <c r="G119" s="1" t="s">
        <v>324</v>
      </c>
    </row>
    <row r="120" spans="1:7" x14ac:dyDescent="0.25">
      <c r="A120" s="1" t="s">
        <v>334</v>
      </c>
      <c r="B120" s="2" t="str">
        <f>HYPERLINK("https://www.elsevier.com/locate/issn/2772-8234", "Advanced Membranes")</f>
        <v>Advanced Membranes</v>
      </c>
      <c r="C120" s="1" t="s">
        <v>34</v>
      </c>
      <c r="D120" s="1" t="s">
        <v>324</v>
      </c>
      <c r="E120" s="1" t="s">
        <v>324</v>
      </c>
      <c r="F120" s="1" t="s">
        <v>324</v>
      </c>
      <c r="G120" s="1" t="s">
        <v>324</v>
      </c>
    </row>
    <row r="121" spans="1:7" x14ac:dyDescent="0.25">
      <c r="A121" s="1" t="s">
        <v>335</v>
      </c>
      <c r="B121" s="2" t="str">
        <f>HYPERLINK("https://www.elsevier.com/locate/issn/2949-9445", "Advanced Nanocomposites")</f>
        <v>Advanced Nanocomposites</v>
      </c>
      <c r="C121" s="1" t="s">
        <v>34</v>
      </c>
      <c r="D121" s="1" t="s">
        <v>324</v>
      </c>
      <c r="E121" s="1" t="s">
        <v>324</v>
      </c>
      <c r="F121" s="1" t="s">
        <v>324</v>
      </c>
      <c r="G121" s="1" t="s">
        <v>324</v>
      </c>
    </row>
    <row r="122" spans="1:7" x14ac:dyDescent="0.25">
      <c r="A122" s="1" t="s">
        <v>336</v>
      </c>
      <c r="B122" s="2" t="str">
        <f>HYPERLINK("https://www.elsevier.com/locate/issn/3050-7170", "Advanced Orthopaedics")</f>
        <v>Advanced Orthopaedics</v>
      </c>
      <c r="C122" s="1" t="s">
        <v>34</v>
      </c>
      <c r="D122" s="1" t="s">
        <v>324</v>
      </c>
      <c r="E122" s="1" t="s">
        <v>324</v>
      </c>
      <c r="F122" s="1" t="s">
        <v>324</v>
      </c>
      <c r="G122" s="1" t="s">
        <v>324</v>
      </c>
    </row>
    <row r="123" spans="1:7" x14ac:dyDescent="0.25">
      <c r="A123" s="1" t="s">
        <v>337</v>
      </c>
      <c r="B123" s="2" t="str">
        <f>HYPERLINK("https://www.elsevier.com/locate/issn/2772-834X", "Advanced Powder Materials")</f>
        <v>Advanced Powder Materials</v>
      </c>
      <c r="C123" s="1" t="s">
        <v>34</v>
      </c>
      <c r="D123" s="1" t="s">
        <v>324</v>
      </c>
      <c r="E123" s="1" t="s">
        <v>324</v>
      </c>
      <c r="F123" s="1" t="s">
        <v>324</v>
      </c>
      <c r="G123" s="1" t="s">
        <v>324</v>
      </c>
    </row>
    <row r="124" spans="1:7" x14ac:dyDescent="0.25">
      <c r="A124" s="1" t="s">
        <v>338</v>
      </c>
      <c r="B124" s="2" t="str">
        <f>HYPERLINK("https://www.elsevier.com/locate/issn/0921-8831", "Advanced Powder Technology")</f>
        <v>Advanced Powder Technology</v>
      </c>
      <c r="C124" s="1" t="s">
        <v>10</v>
      </c>
      <c r="D124" s="1">
        <v>3170</v>
      </c>
      <c r="E124" s="1">
        <v>2970</v>
      </c>
      <c r="F124" s="1">
        <v>2540</v>
      </c>
      <c r="G124" s="1">
        <v>393180</v>
      </c>
    </row>
    <row r="125" spans="1:7" x14ac:dyDescent="0.25">
      <c r="A125" s="1" t="s">
        <v>339</v>
      </c>
      <c r="B125" s="2" t="str">
        <f>HYPERLINK("https://www.elsevier.com/locate/issn/2773-045X", "Advanced Sensor and Energy Materials")</f>
        <v>Advanced Sensor and Energy Materials</v>
      </c>
      <c r="C125" s="1" t="s">
        <v>23</v>
      </c>
      <c r="D125" s="1">
        <v>1710</v>
      </c>
      <c r="E125" s="1">
        <v>1600</v>
      </c>
      <c r="F125" s="1">
        <v>1370</v>
      </c>
      <c r="G125" s="1">
        <v>212090</v>
      </c>
    </row>
    <row r="126" spans="1:7" x14ac:dyDescent="0.25">
      <c r="A126" s="1" t="s">
        <v>340</v>
      </c>
      <c r="B126" s="2" t="str">
        <f>HYPERLINK("https://www.elsevier.com/locate/issn/0882-6110", "Advances in Accounting")</f>
        <v>Advances in Accounting</v>
      </c>
      <c r="C126" s="1" t="s">
        <v>10</v>
      </c>
      <c r="D126" s="1">
        <v>3240</v>
      </c>
      <c r="E126" s="1">
        <v>3030</v>
      </c>
      <c r="F126" s="1">
        <v>2590</v>
      </c>
      <c r="G126" s="1">
        <v>401860</v>
      </c>
    </row>
    <row r="127" spans="1:7" x14ac:dyDescent="0.25">
      <c r="A127" s="1" t="s">
        <v>341</v>
      </c>
      <c r="B127" s="2" t="str">
        <f>HYPERLINK("https://www.elsevier.com/locate/issn/2666-7924", "Advances in Applied Energy")</f>
        <v>Advances in Applied Energy</v>
      </c>
      <c r="C127" s="1" t="s">
        <v>23</v>
      </c>
      <c r="D127" s="1">
        <v>4360</v>
      </c>
      <c r="E127" s="1">
        <v>4080</v>
      </c>
      <c r="F127" s="1">
        <v>3490</v>
      </c>
      <c r="G127" s="1">
        <v>540770</v>
      </c>
    </row>
    <row r="128" spans="1:7" x14ac:dyDescent="0.25">
      <c r="A128" s="1" t="s">
        <v>342</v>
      </c>
      <c r="B128" s="2" t="str">
        <f>HYPERLINK("https://www.elsevier.com/locate/issn/0196-8858", "Advances in Applied Mathematics")</f>
        <v>Advances in Applied Mathematics</v>
      </c>
      <c r="C128" s="1" t="s">
        <v>10</v>
      </c>
      <c r="D128" s="1">
        <v>3380</v>
      </c>
      <c r="E128" s="1">
        <v>3160</v>
      </c>
      <c r="F128" s="1">
        <v>2710</v>
      </c>
      <c r="G128" s="1">
        <v>419220</v>
      </c>
    </row>
    <row r="129" spans="1:7" x14ac:dyDescent="0.25">
      <c r="A129" s="1" t="s">
        <v>343</v>
      </c>
      <c r="B129" s="2" t="str">
        <f>HYPERLINK("https://www.elsevier.com/locate/issn/2667-1360", "Advances in Archaeomaterials")</f>
        <v>Advances in Archaeomaterials</v>
      </c>
      <c r="C129" s="1" t="s">
        <v>34</v>
      </c>
      <c r="D129" s="1" t="s">
        <v>324</v>
      </c>
      <c r="E129" s="1" t="s">
        <v>324</v>
      </c>
      <c r="F129" s="1" t="s">
        <v>324</v>
      </c>
      <c r="G129" s="1" t="s">
        <v>324</v>
      </c>
    </row>
    <row r="130" spans="1:7" x14ac:dyDescent="0.25">
      <c r="A130" s="1" t="s">
        <v>344</v>
      </c>
      <c r="B130" s="2" t="str">
        <f>HYPERLINK("https://www.elsevier.com/locate/issn/2773-1391", "Advances in Bamboo Science")</f>
        <v>Advances in Bamboo Science</v>
      </c>
      <c r="C130" s="1" t="s">
        <v>23</v>
      </c>
      <c r="D130" s="1">
        <v>1490</v>
      </c>
      <c r="E130" s="1">
        <v>1390</v>
      </c>
      <c r="F130" s="1">
        <v>1190</v>
      </c>
      <c r="G130" s="1">
        <v>184800</v>
      </c>
    </row>
    <row r="131" spans="1:7" x14ac:dyDescent="0.25">
      <c r="A131" s="1" t="s">
        <v>345</v>
      </c>
      <c r="B131" s="2" t="str">
        <f>HYPERLINK("https://www.elsevier.com/locate/issn/2212-4926", "Advances in Biological Regulation")</f>
        <v>Advances in Biological Regulation</v>
      </c>
      <c r="C131" s="1" t="s">
        <v>10</v>
      </c>
      <c r="D131" s="1">
        <v>3530</v>
      </c>
      <c r="E131" s="1">
        <v>3300</v>
      </c>
      <c r="F131" s="1">
        <v>2830</v>
      </c>
      <c r="G131" s="1">
        <v>437830</v>
      </c>
    </row>
    <row r="132" spans="1:7" x14ac:dyDescent="0.25">
      <c r="A132" s="1" t="s">
        <v>346</v>
      </c>
      <c r="B132" s="2" t="str">
        <f>HYPERLINK("https://www.elsevier.com/locate/issn/2543-1064", "Advances in Biomarker Sciences and Technology")</f>
        <v>Advances in Biomarker Sciences and Technology</v>
      </c>
      <c r="C132" s="1" t="s">
        <v>34</v>
      </c>
      <c r="D132" s="1">
        <v>700</v>
      </c>
      <c r="E132" s="1">
        <v>650</v>
      </c>
      <c r="F132" s="1">
        <v>560</v>
      </c>
      <c r="G132" s="1">
        <v>86820</v>
      </c>
    </row>
    <row r="133" spans="1:7" x14ac:dyDescent="0.25">
      <c r="A133" s="1" t="s">
        <v>347</v>
      </c>
      <c r="B133" s="2" t="str">
        <f>HYPERLINK("https://www.elsevier.com/locate/issn/3051-0511", "Advances in Business and Management Research")</f>
        <v>Advances in Business and Management Research</v>
      </c>
      <c r="C133" s="1" t="s">
        <v>23</v>
      </c>
      <c r="D133" s="1">
        <v>2500</v>
      </c>
      <c r="E133" s="1">
        <v>2340</v>
      </c>
      <c r="F133" s="1">
        <v>2000</v>
      </c>
      <c r="G133" s="1">
        <v>310080</v>
      </c>
    </row>
    <row r="134" spans="1:7" x14ac:dyDescent="0.25">
      <c r="A134" s="1" t="s">
        <v>348</v>
      </c>
      <c r="B134" s="2" t="str">
        <f>HYPERLINK("https://www.elsevier.com/locate/issn/2667-3940", "Advances in Cancer Biology - Metastasis")</f>
        <v>Advances in Cancer Biology - Metastasis</v>
      </c>
      <c r="C134" s="1" t="s">
        <v>23</v>
      </c>
      <c r="D134" s="1">
        <v>2650</v>
      </c>
      <c r="E134" s="1">
        <v>2480</v>
      </c>
      <c r="F134" s="1">
        <v>2120</v>
      </c>
      <c r="G134" s="1">
        <v>328680</v>
      </c>
    </row>
    <row r="135" spans="1:7" x14ac:dyDescent="0.25">
      <c r="A135" s="1" t="s">
        <v>349</v>
      </c>
      <c r="B135" s="2" t="str">
        <f>HYPERLINK("https://www.elsevier.com/locate/issn/1674-9278", "Advances in Climate Change Research")</f>
        <v>Advances in Climate Change Research</v>
      </c>
      <c r="C135" s="1" t="s">
        <v>34</v>
      </c>
      <c r="D135" s="1" t="s">
        <v>324</v>
      </c>
      <c r="E135" s="1" t="s">
        <v>324</v>
      </c>
      <c r="F135" s="1" t="s">
        <v>324</v>
      </c>
      <c r="G135" s="1" t="s">
        <v>324</v>
      </c>
    </row>
    <row r="136" spans="1:7" x14ac:dyDescent="0.25">
      <c r="A136" s="1" t="s">
        <v>350</v>
      </c>
      <c r="B136" s="2" t="str">
        <f>HYPERLINK("https://www.elsevier.com/locate/issn/0001-8686", "Advances in Colloid and Interface Science")</f>
        <v>Advances in Colloid and Interface Science</v>
      </c>
      <c r="C136" s="1" t="s">
        <v>10</v>
      </c>
      <c r="D136" s="1">
        <v>5150</v>
      </c>
      <c r="E136" s="1">
        <v>4820</v>
      </c>
      <c r="F136" s="1">
        <v>4120</v>
      </c>
      <c r="G136" s="1">
        <v>638750</v>
      </c>
    </row>
    <row r="137" spans="1:7" x14ac:dyDescent="0.25">
      <c r="A137" s="1" t="s">
        <v>351</v>
      </c>
      <c r="B137" s="2" t="str">
        <f>HYPERLINK("https://www.elsevier.com/locate/issn/0965-9978", "Advances in Engineering Software")</f>
        <v>Advances in Engineering Software</v>
      </c>
      <c r="C137" s="1" t="s">
        <v>10</v>
      </c>
      <c r="D137" s="1">
        <v>3810</v>
      </c>
      <c r="E137" s="1">
        <v>3560</v>
      </c>
      <c r="F137" s="1">
        <v>3050</v>
      </c>
      <c r="G137" s="1">
        <v>472550</v>
      </c>
    </row>
    <row r="138" spans="1:7" x14ac:dyDescent="0.25">
      <c r="A138" s="1" t="s">
        <v>352</v>
      </c>
      <c r="B138" s="2" t="str">
        <f>HYPERLINK("https://www.elsevier.com/locate/issn/2666-9129", "Advances in Industrial and Manufacturing Engineering")</f>
        <v>Advances in Industrial and Manufacturing Engineering</v>
      </c>
      <c r="C138" s="1" t="s">
        <v>23</v>
      </c>
      <c r="D138" s="1">
        <v>2300</v>
      </c>
      <c r="E138" s="1">
        <v>2150</v>
      </c>
      <c r="F138" s="1">
        <v>1840</v>
      </c>
      <c r="G138" s="1">
        <v>285270</v>
      </c>
    </row>
    <row r="139" spans="1:7" x14ac:dyDescent="0.25">
      <c r="A139" s="1" t="s">
        <v>353</v>
      </c>
      <c r="B139" s="2" t="str">
        <f>HYPERLINK("https://www.elsevier.com/locate/issn/2212-9588", "Advances in Integrative Medicine")</f>
        <v>Advances in Integrative Medicine</v>
      </c>
      <c r="C139" s="1" t="s">
        <v>10</v>
      </c>
      <c r="D139" s="1">
        <v>2340</v>
      </c>
      <c r="E139" s="1">
        <v>2190</v>
      </c>
      <c r="F139" s="1">
        <v>1870</v>
      </c>
      <c r="G139" s="1">
        <v>290230</v>
      </c>
    </row>
    <row r="140" spans="1:7" x14ac:dyDescent="0.25">
      <c r="A140" s="1" t="s">
        <v>354</v>
      </c>
      <c r="B140" s="2" t="str">
        <f>HYPERLINK("https://www.elsevier.com/locate/issn/2949-8139", "Advances in Kidney Disease and Health")</f>
        <v>Advances in Kidney Disease and Health</v>
      </c>
      <c r="C140" s="1" t="s">
        <v>10</v>
      </c>
      <c r="D140" s="1">
        <v>3200</v>
      </c>
      <c r="E140" s="1">
        <v>2990</v>
      </c>
      <c r="F140" s="1">
        <v>2560</v>
      </c>
      <c r="G140" s="1">
        <v>396900</v>
      </c>
    </row>
    <row r="141" spans="1:7" x14ac:dyDescent="0.25">
      <c r="A141" s="1" t="s">
        <v>355</v>
      </c>
      <c r="B141" s="2" t="str">
        <f>HYPERLINK("https://www.elsevier.com/locate/issn/1569-4909", "Advances in Life Course Research")</f>
        <v>Advances in Life Course Research</v>
      </c>
      <c r="C141" s="1" t="s">
        <v>10</v>
      </c>
      <c r="D141" s="1">
        <v>3320</v>
      </c>
      <c r="E141" s="1">
        <v>3110</v>
      </c>
      <c r="F141" s="1">
        <v>2660</v>
      </c>
      <c r="G141" s="1">
        <v>411780</v>
      </c>
    </row>
    <row r="142" spans="1:7" x14ac:dyDescent="0.25">
      <c r="A142" s="1" t="s">
        <v>356</v>
      </c>
      <c r="B142" s="2" t="str">
        <f>HYPERLINK("https://www.elsevier.com/locate/issn/0001-8708", "Advances in Mathematics")</f>
        <v>Advances in Mathematics</v>
      </c>
      <c r="C142" s="1" t="s">
        <v>10</v>
      </c>
      <c r="D142" s="1">
        <v>3790</v>
      </c>
      <c r="E142" s="1">
        <v>3550</v>
      </c>
      <c r="F142" s="1">
        <v>3030</v>
      </c>
      <c r="G142" s="1">
        <v>470070</v>
      </c>
    </row>
    <row r="143" spans="1:7" x14ac:dyDescent="0.25">
      <c r="A143" s="1" t="s">
        <v>357</v>
      </c>
      <c r="B143" s="2" t="str">
        <f>HYPERLINK("https://www.elsevier.com/locate/issn/1896-1126", "Advances in Medical Sciences")</f>
        <v>Advances in Medical Sciences</v>
      </c>
      <c r="C143" s="1" t="s">
        <v>10</v>
      </c>
      <c r="D143" s="1">
        <v>2550</v>
      </c>
      <c r="E143" s="1">
        <v>2390</v>
      </c>
      <c r="F143" s="1">
        <v>2040</v>
      </c>
      <c r="G143" s="1">
        <v>316280</v>
      </c>
    </row>
    <row r="144" spans="1:7" x14ac:dyDescent="0.25">
      <c r="A144" s="1" t="s">
        <v>358</v>
      </c>
      <c r="B144" s="2" t="str">
        <f>HYPERLINK("https://www.elsevier.com/locate/issn/2161-8313", "Advances in Nutrition")</f>
        <v>Advances in Nutrition</v>
      </c>
      <c r="C144" s="1" t="s">
        <v>23</v>
      </c>
      <c r="D144" s="1">
        <v>5200</v>
      </c>
      <c r="E144" s="1">
        <v>4860</v>
      </c>
      <c r="F144" s="1">
        <v>4160</v>
      </c>
      <c r="G144" s="1">
        <v>644960</v>
      </c>
    </row>
    <row r="145" spans="1:7" x14ac:dyDescent="0.25">
      <c r="A145" s="1" t="s">
        <v>359</v>
      </c>
      <c r="B145" s="2" t="str">
        <f>HYPERLINK("https://www.elsevier.com/locate/issn/2667-3762", "Advances in Ophthalmology Practice and Research")</f>
        <v>Advances in Ophthalmology Practice and Research</v>
      </c>
      <c r="C145" s="1" t="s">
        <v>23</v>
      </c>
      <c r="D145" s="1">
        <v>1600</v>
      </c>
      <c r="E145" s="1">
        <v>1500</v>
      </c>
      <c r="F145" s="1">
        <v>1280</v>
      </c>
      <c r="G145" s="1">
        <v>198450</v>
      </c>
    </row>
    <row r="146" spans="1:7" x14ac:dyDescent="0.25">
      <c r="A146" s="1" t="s">
        <v>360</v>
      </c>
      <c r="B146" s="2" t="str">
        <f>HYPERLINK("https://www.elsevier.com/locate/issn/2667-1476", "Advances in Oral and Maxillofacial Surgery")</f>
        <v>Advances in Oral and Maxillofacial Surgery</v>
      </c>
      <c r="C146" s="1" t="s">
        <v>23</v>
      </c>
      <c r="D146" s="1">
        <v>1650</v>
      </c>
      <c r="E146" s="1">
        <v>1540</v>
      </c>
      <c r="F146" s="1">
        <v>1320</v>
      </c>
      <c r="G146" s="1">
        <v>204650</v>
      </c>
    </row>
    <row r="147" spans="1:7" x14ac:dyDescent="0.25">
      <c r="A147" s="1" t="s">
        <v>361</v>
      </c>
      <c r="B147" s="2" t="str">
        <f>HYPERLINK("https://www.elsevier.com/locate/issn/3050-6964", "Advances in Patient-Reported Outcomes")</f>
        <v>Advances in Patient-Reported Outcomes</v>
      </c>
      <c r="C147" s="1" t="s">
        <v>23</v>
      </c>
      <c r="D147" s="1">
        <v>2400</v>
      </c>
      <c r="E147" s="1">
        <v>2250</v>
      </c>
      <c r="F147" s="1">
        <v>1920</v>
      </c>
      <c r="G147" s="1">
        <v>297670</v>
      </c>
    </row>
    <row r="148" spans="1:7" x14ac:dyDescent="0.25">
      <c r="A148" s="1" t="s">
        <v>362</v>
      </c>
      <c r="B148" s="2" t="str">
        <f>HYPERLINK("https://www.elsevier.com/locate/issn/2452-1094", "Advances in Radiation Oncology")</f>
        <v>Advances in Radiation Oncology</v>
      </c>
      <c r="C148" s="1" t="s">
        <v>23</v>
      </c>
      <c r="D148" s="1">
        <v>2500</v>
      </c>
      <c r="E148" s="1">
        <v>2340</v>
      </c>
      <c r="F148" s="1">
        <v>2000</v>
      </c>
      <c r="G148" s="1">
        <v>310080</v>
      </c>
    </row>
    <row r="149" spans="1:7" x14ac:dyDescent="0.25">
      <c r="A149" s="1" t="s">
        <v>363</v>
      </c>
      <c r="B149" s="2" t="str">
        <f>HYPERLINK("https://www.elsevier.com/locate/issn/2667-1379", "Advances in Redox Research")</f>
        <v>Advances in Redox Research</v>
      </c>
      <c r="C149" s="1" t="s">
        <v>23</v>
      </c>
      <c r="D149" s="1">
        <v>1590</v>
      </c>
      <c r="E149" s="1">
        <v>1490</v>
      </c>
      <c r="F149" s="1">
        <v>1270</v>
      </c>
      <c r="G149" s="1">
        <v>197210</v>
      </c>
    </row>
    <row r="150" spans="1:7" x14ac:dyDescent="0.25">
      <c r="A150" s="1" t="s">
        <v>364</v>
      </c>
      <c r="B150" s="2" t="str">
        <f>HYPERLINK("https://www.elsevier.com/locate/issn/2772-5820", "Advances in Sample Preparation")</f>
        <v>Advances in Sample Preparation</v>
      </c>
      <c r="C150" s="1" t="s">
        <v>23</v>
      </c>
      <c r="D150" s="1">
        <v>1550</v>
      </c>
      <c r="E150" s="1">
        <v>1450</v>
      </c>
      <c r="F150" s="1">
        <v>1240</v>
      </c>
      <c r="G150" s="1">
        <v>192250</v>
      </c>
    </row>
    <row r="151" spans="1:7" x14ac:dyDescent="0.25">
      <c r="A151" s="1" t="s">
        <v>365</v>
      </c>
      <c r="B151" s="2" t="str">
        <f>HYPERLINK("https://www.elsevier.com/locate/issn/0273-1177", "Advances in Space Research")</f>
        <v>Advances in Space Research</v>
      </c>
      <c r="C151" s="1" t="s">
        <v>10</v>
      </c>
      <c r="D151" s="1">
        <v>2780</v>
      </c>
      <c r="E151" s="1">
        <v>2600</v>
      </c>
      <c r="F151" s="1">
        <v>2230</v>
      </c>
      <c r="G151" s="1">
        <v>344800</v>
      </c>
    </row>
    <row r="152" spans="1:7" x14ac:dyDescent="0.25">
      <c r="A152" s="1" t="s">
        <v>366</v>
      </c>
      <c r="B152" s="2" t="str">
        <f>HYPERLINK("https://www.elsevier.com/locate/issn/0309-1708", "Advances in Water Resources")</f>
        <v>Advances in Water Resources</v>
      </c>
      <c r="C152" s="1" t="s">
        <v>10</v>
      </c>
      <c r="D152" s="1">
        <v>3840</v>
      </c>
      <c r="E152" s="1">
        <v>3590</v>
      </c>
      <c r="F152" s="1">
        <v>3070</v>
      </c>
      <c r="G152" s="1">
        <v>476280</v>
      </c>
    </row>
    <row r="153" spans="1:7" x14ac:dyDescent="0.25">
      <c r="A153" s="1" t="s">
        <v>367</v>
      </c>
      <c r="B153" s="2" t="str">
        <f>HYPERLINK("https://www.elsevier.com/locate/issn/2950-6018", "Advances in Wind Engineering")</f>
        <v>Advances in Wind Engineering</v>
      </c>
      <c r="C153" s="1" t="s">
        <v>34</v>
      </c>
      <c r="D153" s="1" t="s">
        <v>324</v>
      </c>
      <c r="E153" s="1" t="s">
        <v>324</v>
      </c>
      <c r="F153" s="1" t="s">
        <v>324</v>
      </c>
      <c r="G153" s="1" t="s">
        <v>324</v>
      </c>
    </row>
    <row r="154" spans="1:7" x14ac:dyDescent="0.25">
      <c r="A154" s="1" t="s">
        <v>368</v>
      </c>
      <c r="B154" s="2" t="str">
        <f>HYPERLINK("https://www.elsevier.com/locate/issn/3050-8592", "Advancing Medical-Surgical Nursing")</f>
        <v>Advancing Medical-Surgical Nursing</v>
      </c>
      <c r="C154" s="1" t="s">
        <v>10</v>
      </c>
      <c r="D154" s="1">
        <v>2000</v>
      </c>
      <c r="E154" s="1">
        <v>1870</v>
      </c>
      <c r="F154" s="1">
        <v>1600</v>
      </c>
      <c r="G154" s="1">
        <v>248060</v>
      </c>
    </row>
    <row r="155" spans="1:7" x14ac:dyDescent="0.25">
      <c r="A155" s="1" t="s">
        <v>369</v>
      </c>
      <c r="B155" s="2" t="str">
        <f>HYPERLINK("https://www.elsevier.com/locate/issn/1875-9637", "Aeolian Research")</f>
        <v>Aeolian Research</v>
      </c>
      <c r="C155" s="1" t="s">
        <v>10</v>
      </c>
      <c r="D155" s="1">
        <v>3840</v>
      </c>
      <c r="E155" s="1">
        <v>3590</v>
      </c>
      <c r="F155" s="1">
        <v>3070</v>
      </c>
      <c r="G155" s="1">
        <v>476280</v>
      </c>
    </row>
    <row r="156" spans="1:7" x14ac:dyDescent="0.25">
      <c r="A156" s="1" t="s">
        <v>370</v>
      </c>
      <c r="B156" s="2" t="str">
        <f>HYPERLINK("https://www.elsevier.com/locate/issn/1270-9638", "Aerospace Science and Technology")</f>
        <v>Aerospace Science and Technology</v>
      </c>
      <c r="C156" s="1" t="s">
        <v>10</v>
      </c>
      <c r="D156" s="1">
        <v>4360</v>
      </c>
      <c r="E156" s="1">
        <v>4080</v>
      </c>
      <c r="F156" s="1">
        <v>3490</v>
      </c>
      <c r="G156" s="1">
        <v>540770</v>
      </c>
    </row>
    <row r="157" spans="1:7" x14ac:dyDescent="0.25">
      <c r="A157" s="1" t="s">
        <v>371</v>
      </c>
      <c r="B157" s="2" t="str">
        <f>HYPERLINK("https://www.elsevier.com/locate/issn/2950-3388", "Aerospace Traffic and Safety")</f>
        <v>Aerospace Traffic and Safety</v>
      </c>
      <c r="C157" s="1" t="s">
        <v>34</v>
      </c>
      <c r="D157" s="1" t="s">
        <v>324</v>
      </c>
      <c r="E157" s="1" t="s">
        <v>324</v>
      </c>
      <c r="F157" s="1" t="s">
        <v>324</v>
      </c>
      <c r="G157" s="1" t="s">
        <v>324</v>
      </c>
    </row>
    <row r="158" spans="1:7" x14ac:dyDescent="0.25">
      <c r="A158" s="1" t="s">
        <v>372</v>
      </c>
      <c r="B158" s="2" t="str">
        <f>HYPERLINK("https://www.elsevier.com/locate/issn/1434-8411", "AEU - International Journal of Electronics and Communications")</f>
        <v>AEU - International Journal of Electronics and Communications</v>
      </c>
      <c r="C158" s="1" t="s">
        <v>10</v>
      </c>
      <c r="D158" s="1">
        <v>3180</v>
      </c>
      <c r="E158" s="1">
        <v>2970</v>
      </c>
      <c r="F158" s="1">
        <v>2550</v>
      </c>
      <c r="G158" s="1">
        <v>394420</v>
      </c>
    </row>
    <row r="159" spans="1:7" x14ac:dyDescent="0.25">
      <c r="A159" s="1" t="s">
        <v>373</v>
      </c>
      <c r="B159" s="2" t="str">
        <f>HYPERLINK("https://www.elsevier.com/locate/issn/2211-419X", "African Journal of Emergency Medicine")</f>
        <v>African Journal of Emergency Medicine</v>
      </c>
      <c r="C159" s="1" t="s">
        <v>23</v>
      </c>
      <c r="D159" s="1">
        <v>2140</v>
      </c>
      <c r="E159" s="1">
        <v>2000</v>
      </c>
      <c r="F159" s="1">
        <v>1710</v>
      </c>
      <c r="G159" s="1">
        <v>265420</v>
      </c>
    </row>
    <row r="160" spans="1:7" x14ac:dyDescent="0.25">
      <c r="A160" s="1" t="s">
        <v>374</v>
      </c>
      <c r="B160" s="2" t="str">
        <f>HYPERLINK("https://www.elsevier.com/locate/issn/2950-1962", "African Transport Studies")</f>
        <v>African Transport Studies</v>
      </c>
      <c r="C160" s="1" t="s">
        <v>10</v>
      </c>
      <c r="D160" s="1">
        <v>1550</v>
      </c>
      <c r="E160" s="1">
        <v>1450</v>
      </c>
      <c r="F160" s="1">
        <v>1240</v>
      </c>
      <c r="G160" s="1">
        <v>192250</v>
      </c>
    </row>
    <row r="161" spans="1:7" x14ac:dyDescent="0.25">
      <c r="A161" s="1" t="s">
        <v>375</v>
      </c>
      <c r="B161" s="2" t="str">
        <f>HYPERLINK("https://www.elsevier.com/locate/issn/1568-1637", "Ageing Research Reviews")</f>
        <v>Ageing Research Reviews</v>
      </c>
      <c r="C161" s="1" t="s">
        <v>10</v>
      </c>
      <c r="D161" s="1">
        <v>5520</v>
      </c>
      <c r="E161" s="1">
        <v>5160</v>
      </c>
      <c r="F161" s="1">
        <v>4420</v>
      </c>
      <c r="G161" s="1">
        <v>684650</v>
      </c>
    </row>
    <row r="162" spans="1:7" x14ac:dyDescent="0.25">
      <c r="A162" s="1" t="s">
        <v>376</v>
      </c>
      <c r="B162" s="2" t="str">
        <f>HYPERLINK("https://www.elsevier.com/locate/issn/1359-1789", "Aggression and Violent Behavior")</f>
        <v>Aggression and Violent Behavior</v>
      </c>
      <c r="C162" s="1" t="s">
        <v>10</v>
      </c>
      <c r="D162" s="1">
        <v>3880</v>
      </c>
      <c r="E162" s="1">
        <v>3630</v>
      </c>
      <c r="F162" s="1">
        <v>3110</v>
      </c>
      <c r="G162" s="1">
        <v>481240</v>
      </c>
    </row>
    <row r="163" spans="1:7" x14ac:dyDescent="0.25">
      <c r="A163" s="1" t="s">
        <v>377</v>
      </c>
      <c r="B163" s="2" t="str">
        <f>HYPERLINK("https://www.elsevier.com/locate/issn/2667-0321", "Aging and Health Research")</f>
        <v>Aging and Health Research</v>
      </c>
      <c r="C163" s="1" t="s">
        <v>23</v>
      </c>
      <c r="D163" s="1">
        <v>2380</v>
      </c>
      <c r="E163" s="1">
        <v>2230</v>
      </c>
      <c r="F163" s="1">
        <v>1910</v>
      </c>
      <c r="G163" s="1">
        <v>295190</v>
      </c>
    </row>
    <row r="164" spans="1:7" x14ac:dyDescent="0.25">
      <c r="A164" s="1" t="s">
        <v>378</v>
      </c>
      <c r="B164" s="2" t="str">
        <f>HYPERLINK("https://www.elsevier.com/locate/issn/2589-9589", "Aging Brain")</f>
        <v>Aging Brain</v>
      </c>
      <c r="C164" s="1" t="s">
        <v>23</v>
      </c>
      <c r="D164" s="1">
        <v>2120</v>
      </c>
      <c r="E164" s="1">
        <v>1980</v>
      </c>
      <c r="F164" s="1">
        <v>1700</v>
      </c>
      <c r="G164" s="1">
        <v>262940</v>
      </c>
    </row>
    <row r="165" spans="1:7" x14ac:dyDescent="0.25">
      <c r="A165" s="1" t="s">
        <v>379</v>
      </c>
      <c r="B165" s="2" t="str">
        <f>HYPERLINK("https://www.elsevier.com/locate/issn/0168-1923", "Agricultural and Forest Meteorology")</f>
        <v>Agricultural and Forest Meteorology</v>
      </c>
      <c r="C165" s="1" t="s">
        <v>10</v>
      </c>
      <c r="D165" s="1">
        <v>3590</v>
      </c>
      <c r="E165" s="1">
        <v>3360</v>
      </c>
      <c r="F165" s="1">
        <v>2870</v>
      </c>
      <c r="G165" s="1">
        <v>445270</v>
      </c>
    </row>
    <row r="166" spans="1:7" x14ac:dyDescent="0.25">
      <c r="A166" s="1" t="s">
        <v>380</v>
      </c>
      <c r="B166" s="2" t="str">
        <f>HYPERLINK("https://www.elsevier.com/locate/issn/0308-521X", "Agricultural Systems")</f>
        <v>Agricultural Systems</v>
      </c>
      <c r="C166" s="1" t="s">
        <v>10</v>
      </c>
      <c r="D166" s="1">
        <v>4000</v>
      </c>
      <c r="E166" s="1">
        <v>3740</v>
      </c>
      <c r="F166" s="1">
        <v>3200</v>
      </c>
      <c r="G166" s="1">
        <v>496120</v>
      </c>
    </row>
    <row r="167" spans="1:7" x14ac:dyDescent="0.25">
      <c r="A167" s="1" t="s">
        <v>381</v>
      </c>
      <c r="B167" s="2" t="str">
        <f>HYPERLINK("https://www.elsevier.com/locate/issn/0378-3774", "Agricultural Water Management")</f>
        <v>Agricultural Water Management</v>
      </c>
      <c r="C167" s="1" t="s">
        <v>23</v>
      </c>
      <c r="D167" s="1">
        <v>3070</v>
      </c>
      <c r="E167" s="1">
        <v>2870</v>
      </c>
      <c r="F167" s="1">
        <v>2460</v>
      </c>
      <c r="G167" s="1">
        <v>380770</v>
      </c>
    </row>
    <row r="168" spans="1:7" x14ac:dyDescent="0.25">
      <c r="A168" s="1" t="s">
        <v>382</v>
      </c>
      <c r="B168" s="2" t="str">
        <f>HYPERLINK("https://www.elsevier.com/locate/issn/2949-7981", "Agriculture Communications")</f>
        <v>Agriculture Communications</v>
      </c>
      <c r="C168" s="1" t="s">
        <v>23</v>
      </c>
      <c r="D168" s="1">
        <v>1600</v>
      </c>
      <c r="E168" s="1">
        <v>1500</v>
      </c>
      <c r="F168" s="1">
        <v>1280</v>
      </c>
      <c r="G168" s="1">
        <v>198450</v>
      </c>
    </row>
    <row r="169" spans="1:7" x14ac:dyDescent="0.25">
      <c r="A169" s="1" t="s">
        <v>383</v>
      </c>
      <c r="B169" s="2" t="str">
        <f>HYPERLINK("https://www.elsevier.com/locate/issn/2666-6510", "AI Open")</f>
        <v>AI Open</v>
      </c>
      <c r="C169" s="1" t="s">
        <v>34</v>
      </c>
      <c r="D169" s="1">
        <v>900</v>
      </c>
      <c r="E169" s="1">
        <v>840</v>
      </c>
      <c r="F169" s="1">
        <v>720</v>
      </c>
      <c r="G169" s="1">
        <v>111630</v>
      </c>
    </row>
    <row r="170" spans="1:7" x14ac:dyDescent="0.25">
      <c r="A170" s="1" t="s">
        <v>384</v>
      </c>
      <c r="B170" s="2" t="str">
        <f>HYPERLINK("https://www.elsevier.com/locate/issn/3050-5852", "AI Thermal Fluids")</f>
        <v>AI Thermal Fluids</v>
      </c>
      <c r="C170" s="1" t="s">
        <v>23</v>
      </c>
      <c r="D170" s="1">
        <v>2500</v>
      </c>
      <c r="E170" s="1">
        <v>2340</v>
      </c>
      <c r="F170" s="1">
        <v>2000</v>
      </c>
      <c r="G170" s="1">
        <v>310080</v>
      </c>
    </row>
    <row r="171" spans="1:7" x14ac:dyDescent="0.25">
      <c r="A171" s="1" t="s">
        <v>385</v>
      </c>
      <c r="B171" s="2" t="str">
        <f>HYPERLINK("https://www.elsevier.com/locate/issn/2090-4479", "Ain Shams Engineering Journal")</f>
        <v>Ain Shams Engineering Journal</v>
      </c>
      <c r="C171" s="1" t="s">
        <v>23</v>
      </c>
      <c r="D171" s="1">
        <v>1200</v>
      </c>
      <c r="E171" s="1">
        <v>1120</v>
      </c>
      <c r="F171" s="1">
        <v>960</v>
      </c>
      <c r="G171" s="1">
        <v>148840</v>
      </c>
    </row>
    <row r="172" spans="1:7" x14ac:dyDescent="0.25">
      <c r="A172" s="1" t="s">
        <v>386</v>
      </c>
      <c r="B172" s="2" t="str">
        <f>HYPERLINK("https://www.elsevier.com/locate/issn/1067-991X", "Air Medical Journal")</f>
        <v>Air Medical Journal</v>
      </c>
      <c r="C172" s="1" t="s">
        <v>10</v>
      </c>
      <c r="D172" s="1">
        <v>2700</v>
      </c>
      <c r="E172" s="1">
        <v>2530</v>
      </c>
      <c r="F172" s="1">
        <v>2160</v>
      </c>
      <c r="G172" s="1">
        <v>334880</v>
      </c>
    </row>
    <row r="173" spans="1:7" x14ac:dyDescent="0.25">
      <c r="A173" s="1" t="s">
        <v>387</v>
      </c>
      <c r="B173" s="2" t="str">
        <f>HYPERLINK("https://www.elsevier.com/locate/issn/2950-2535", "AJO International")</f>
        <v>AJO International</v>
      </c>
      <c r="C173" s="1" t="s">
        <v>23</v>
      </c>
      <c r="D173" s="1">
        <v>1850</v>
      </c>
      <c r="E173" s="1">
        <v>1730</v>
      </c>
      <c r="F173" s="1">
        <v>1480</v>
      </c>
      <c r="G173" s="1">
        <v>229460</v>
      </c>
    </row>
    <row r="174" spans="1:7" x14ac:dyDescent="0.25">
      <c r="A174" s="1" t="s">
        <v>388</v>
      </c>
      <c r="B174" s="2" t="str">
        <f>HYPERLINK("https://www.elsevier.com/locate/issn/2666-4305", "AJO-DO Clinical Companion")</f>
        <v>AJO-DO Clinical Companion</v>
      </c>
      <c r="C174" s="1" t="s">
        <v>10</v>
      </c>
      <c r="D174" s="1">
        <v>3000</v>
      </c>
      <c r="E174" s="1">
        <v>2810</v>
      </c>
      <c r="F174" s="1">
        <v>2400</v>
      </c>
      <c r="G174" s="1">
        <v>372090</v>
      </c>
    </row>
    <row r="175" spans="1:7" x14ac:dyDescent="0.25">
      <c r="A175" s="1" t="s">
        <v>389</v>
      </c>
      <c r="B175" s="2" t="str">
        <f>HYPERLINK("https://www.elsevier.com/locate/issn/2666-5778", "AJOG Global Reports")</f>
        <v>AJOG Global Reports</v>
      </c>
      <c r="C175" s="1" t="s">
        <v>23</v>
      </c>
      <c r="D175" s="1">
        <v>1980</v>
      </c>
      <c r="E175" s="1">
        <v>1850</v>
      </c>
      <c r="F175" s="1">
        <v>1590</v>
      </c>
      <c r="G175" s="1">
        <v>245580</v>
      </c>
    </row>
    <row r="176" spans="1:7" x14ac:dyDescent="0.25">
      <c r="A176" s="1" t="s">
        <v>390</v>
      </c>
      <c r="B176" s="2" t="str">
        <f>HYPERLINK("https://www.elsevier.com/locate/issn/2773-0654", "AJPM Focus")</f>
        <v>AJPM Focus</v>
      </c>
      <c r="C176" s="1" t="s">
        <v>23</v>
      </c>
      <c r="D176" s="1">
        <v>1910</v>
      </c>
      <c r="E176" s="1">
        <v>1790</v>
      </c>
      <c r="F176" s="1">
        <v>1530</v>
      </c>
      <c r="G176" s="1">
        <v>236900</v>
      </c>
    </row>
    <row r="177" spans="1:7" x14ac:dyDescent="0.25">
      <c r="A177" s="1" t="s">
        <v>391</v>
      </c>
      <c r="B177" s="2" t="str">
        <f>HYPERLINK("https://www.elsevier.com/locate/issn/0741-8329", "Alcohol")</f>
        <v>Alcohol</v>
      </c>
      <c r="C177" s="1" t="s">
        <v>10</v>
      </c>
      <c r="D177" s="1">
        <v>3720</v>
      </c>
      <c r="E177" s="1">
        <v>3480</v>
      </c>
      <c r="F177" s="1">
        <v>2980</v>
      </c>
      <c r="G177" s="1">
        <v>461390</v>
      </c>
    </row>
    <row r="178" spans="1:7" x14ac:dyDescent="0.25">
      <c r="A178" s="1" t="s">
        <v>392</v>
      </c>
      <c r="B178" s="2" t="str">
        <f>HYPERLINK("https://www.elsevier.com/locate/issn/1110-0168", "Alexandria Engineering Journal")</f>
        <v>Alexandria Engineering Journal</v>
      </c>
      <c r="C178" s="1" t="s">
        <v>23</v>
      </c>
      <c r="D178" s="1">
        <v>2020</v>
      </c>
      <c r="E178" s="1">
        <v>1890</v>
      </c>
      <c r="F178" s="1">
        <v>1620</v>
      </c>
      <c r="G178" s="1">
        <v>250540</v>
      </c>
    </row>
    <row r="179" spans="1:7" x14ac:dyDescent="0.25">
      <c r="A179" s="1" t="s">
        <v>393</v>
      </c>
      <c r="B179" s="2" t="str">
        <f>HYPERLINK("https://www.elsevier.com/locate/issn/2211-9264", "Algal Research")</f>
        <v>Algal Research</v>
      </c>
      <c r="C179" s="1" t="s">
        <v>10</v>
      </c>
      <c r="D179" s="1">
        <v>4190</v>
      </c>
      <c r="E179" s="1">
        <v>3920</v>
      </c>
      <c r="F179" s="1">
        <v>3350</v>
      </c>
      <c r="G179" s="1">
        <v>519690</v>
      </c>
    </row>
    <row r="180" spans="1:7" x14ac:dyDescent="0.25">
      <c r="A180" s="1" t="s">
        <v>394</v>
      </c>
      <c r="B180" s="2" t="str">
        <f>HYPERLINK("https://www.elsevier.com/locate/issn/1323-8930", "Allergology International")</f>
        <v>Allergology International</v>
      </c>
      <c r="C180" s="1" t="s">
        <v>23</v>
      </c>
      <c r="D180" s="1">
        <v>2280</v>
      </c>
      <c r="E180" s="1">
        <v>2130</v>
      </c>
      <c r="F180" s="1">
        <v>1820</v>
      </c>
      <c r="G180" s="1">
        <v>275900</v>
      </c>
    </row>
    <row r="181" spans="1:7" x14ac:dyDescent="0.25">
      <c r="A181" s="1" t="s">
        <v>395</v>
      </c>
      <c r="B181" s="2" t="str">
        <f>HYPERLINK("https://www.elsevier.com/locate/issn/2949-9135", "Allergy Medicine")</f>
        <v>Allergy Medicine</v>
      </c>
      <c r="C181" s="1" t="s">
        <v>23</v>
      </c>
      <c r="D181" s="1">
        <v>2300</v>
      </c>
      <c r="E181" s="1">
        <v>2150</v>
      </c>
      <c r="F181" s="1">
        <v>1840</v>
      </c>
      <c r="G181" s="1">
        <v>285270</v>
      </c>
    </row>
    <row r="182" spans="1:7" x14ac:dyDescent="0.25">
      <c r="A182" s="1" t="s">
        <v>396</v>
      </c>
      <c r="B182" s="2" t="str">
        <f>HYPERLINK("https://www.elsevier.com/locate/issn/0002-8703", "American Heart Journal")</f>
        <v>American Heart Journal</v>
      </c>
      <c r="C182" s="1" t="s">
        <v>10</v>
      </c>
      <c r="D182" s="1">
        <v>4070</v>
      </c>
      <c r="E182" s="1">
        <v>3810</v>
      </c>
      <c r="F182" s="1">
        <v>3260</v>
      </c>
      <c r="G182" s="1">
        <v>504800</v>
      </c>
    </row>
    <row r="183" spans="1:7" x14ac:dyDescent="0.25">
      <c r="A183" s="1" t="s">
        <v>397</v>
      </c>
      <c r="B183" s="2" t="str">
        <f>HYPERLINK("https://www.elsevier.com/locate/issn/2666-6022", "American Heart Journal Plus: Cardiology Research and Practice")</f>
        <v>American Heart Journal Plus: Cardiology Research and Practice</v>
      </c>
      <c r="C183" s="1" t="s">
        <v>23</v>
      </c>
      <c r="D183" s="1">
        <v>2810</v>
      </c>
      <c r="E183" s="1">
        <v>2630</v>
      </c>
      <c r="F183" s="1">
        <v>2250</v>
      </c>
      <c r="G183" s="1">
        <v>348520</v>
      </c>
    </row>
    <row r="184" spans="1:7" x14ac:dyDescent="0.25">
      <c r="A184" s="1" t="s">
        <v>398</v>
      </c>
      <c r="B184" s="2" t="str">
        <f>HYPERLINK("https://www.elsevier.com/locate/issn/0735-6757", "The American Journal of Emergency Medicine")</f>
        <v>The American Journal of Emergency Medicine</v>
      </c>
      <c r="C184" s="1" t="s">
        <v>10</v>
      </c>
      <c r="D184" s="1">
        <v>3980</v>
      </c>
      <c r="E184" s="1">
        <v>3720</v>
      </c>
      <c r="F184" s="1">
        <v>3190</v>
      </c>
      <c r="G184" s="1">
        <v>493640</v>
      </c>
    </row>
    <row r="185" spans="1:7" x14ac:dyDescent="0.25">
      <c r="A185" s="1" t="s">
        <v>399</v>
      </c>
      <c r="B185" s="2" t="str">
        <f>HYPERLINK("https://www.elsevier.com/locate/issn/0196-6553", "American Journal of Infection Control")</f>
        <v>American Journal of Infection Control</v>
      </c>
      <c r="C185" s="1" t="s">
        <v>10</v>
      </c>
      <c r="D185" s="1">
        <v>3360</v>
      </c>
      <c r="E185" s="1">
        <v>3140</v>
      </c>
      <c r="F185" s="1">
        <v>2690</v>
      </c>
      <c r="G185" s="1">
        <v>416740</v>
      </c>
    </row>
    <row r="186" spans="1:7" x14ac:dyDescent="0.25">
      <c r="A186" s="1" t="s">
        <v>400</v>
      </c>
      <c r="B186" s="2" t="str">
        <f>HYPERLINK("https://www.elsevier.com/locate/issn/0272-6386", "American Journal of Kidney Diseases")</f>
        <v>American Journal of Kidney Diseases</v>
      </c>
      <c r="C186" s="1" t="s">
        <v>10</v>
      </c>
      <c r="D186" s="1">
        <v>3900</v>
      </c>
      <c r="E186" s="1">
        <v>3650</v>
      </c>
      <c r="F186" s="1">
        <v>3120</v>
      </c>
      <c r="G186" s="1">
        <v>483720</v>
      </c>
    </row>
    <row r="187" spans="1:7" x14ac:dyDescent="0.25">
      <c r="A187" s="1" t="s">
        <v>401</v>
      </c>
      <c r="B187" s="2" t="str">
        <f>HYPERLINK("https://www.elsevier.com/locate/issn/2667-0364", "American Journal of Medicine Open")</f>
        <v>American Journal of Medicine Open</v>
      </c>
      <c r="C187" s="1" t="s">
        <v>23</v>
      </c>
      <c r="D187" s="1">
        <v>2540</v>
      </c>
      <c r="E187" s="1">
        <v>2380</v>
      </c>
      <c r="F187" s="1">
        <v>2030</v>
      </c>
      <c r="G187" s="1">
        <v>315040</v>
      </c>
    </row>
    <row r="188" spans="1:7" x14ac:dyDescent="0.25">
      <c r="A188" s="1" t="s">
        <v>402</v>
      </c>
      <c r="B188" s="2" t="str">
        <f>HYPERLINK("https://www.elsevier.com/locate/issn/0002-9378", "American Journal of Obstetrics and Gynecology")</f>
        <v>American Journal of Obstetrics and Gynecology</v>
      </c>
      <c r="C188" s="1" t="s">
        <v>10</v>
      </c>
      <c r="D188" s="1">
        <v>5410</v>
      </c>
      <c r="E188" s="1">
        <v>5060</v>
      </c>
      <c r="F188" s="1">
        <v>4330</v>
      </c>
      <c r="G188" s="1">
        <v>671000</v>
      </c>
    </row>
    <row r="189" spans="1:7" x14ac:dyDescent="0.25">
      <c r="A189" s="1" t="s">
        <v>403</v>
      </c>
      <c r="B189" s="2" t="str">
        <f>HYPERLINK("https://www.elsevier.com/locate/issn/2589-9333", "American Journal of Obstetrics &amp; Gynecology MFM")</f>
        <v>American Journal of Obstetrics &amp; Gynecology MFM</v>
      </c>
      <c r="C189" s="1" t="s">
        <v>10</v>
      </c>
      <c r="D189" s="1">
        <v>3550</v>
      </c>
      <c r="E189" s="1">
        <v>3320</v>
      </c>
      <c r="F189" s="1">
        <v>2840</v>
      </c>
      <c r="G189" s="1">
        <v>440310</v>
      </c>
    </row>
    <row r="190" spans="1:7" x14ac:dyDescent="0.25">
      <c r="A190" s="1" t="s">
        <v>404</v>
      </c>
      <c r="B190" s="2" t="str">
        <f>HYPERLINK("https://www.elsevier.com/locate/issn/0002-9394", "American Journal of Ophthalmology")</f>
        <v>American Journal of Ophthalmology</v>
      </c>
      <c r="C190" s="1" t="s">
        <v>10</v>
      </c>
      <c r="D190" s="1">
        <v>4300</v>
      </c>
      <c r="E190" s="1">
        <v>4020</v>
      </c>
      <c r="F190" s="1">
        <v>3440</v>
      </c>
      <c r="G190" s="1">
        <v>533330</v>
      </c>
    </row>
    <row r="191" spans="1:7" x14ac:dyDescent="0.25">
      <c r="A191" s="1" t="s">
        <v>405</v>
      </c>
      <c r="B191" s="2" t="str">
        <f>HYPERLINK("https://www.elsevier.com/locate/issn/2451-9936", "American Journal of Ophthalmology Case Reports")</f>
        <v>American Journal of Ophthalmology Case Reports</v>
      </c>
      <c r="C191" s="1" t="s">
        <v>23</v>
      </c>
      <c r="D191" s="1">
        <v>1590</v>
      </c>
      <c r="E191" s="1">
        <v>1490</v>
      </c>
      <c r="F191" s="1">
        <v>1270</v>
      </c>
      <c r="G191" s="1">
        <v>197210</v>
      </c>
    </row>
    <row r="192" spans="1:7" x14ac:dyDescent="0.25">
      <c r="A192" s="1" t="s">
        <v>406</v>
      </c>
      <c r="B192" s="2" t="str">
        <f>HYPERLINK("https://www.elsevier.com/locate/issn/0889-5406", "American Journal of Orthodontics and Dentofacial Orthopedics")</f>
        <v>American Journal of Orthodontics and Dentofacial Orthopedics</v>
      </c>
      <c r="C192" s="1" t="s">
        <v>10</v>
      </c>
      <c r="D192" s="1">
        <v>4070</v>
      </c>
      <c r="E192" s="1">
        <v>3810</v>
      </c>
      <c r="F192" s="1">
        <v>3260</v>
      </c>
      <c r="G192" s="1">
        <v>504800</v>
      </c>
    </row>
    <row r="193" spans="1:7" x14ac:dyDescent="0.25">
      <c r="A193" s="1" t="s">
        <v>407</v>
      </c>
      <c r="B193" s="2" t="str">
        <f>HYPERLINK("https://www.elsevier.com/locate/issn/0196-0709", "American Journal of Otolaryngology")</f>
        <v>American Journal of Otolaryngology</v>
      </c>
      <c r="C193" s="1" t="s">
        <v>23</v>
      </c>
      <c r="D193" s="1">
        <v>2150</v>
      </c>
      <c r="E193" s="1">
        <v>2010</v>
      </c>
      <c r="F193" s="1">
        <v>1720</v>
      </c>
      <c r="G193" s="1">
        <v>266660</v>
      </c>
    </row>
    <row r="194" spans="1:7" x14ac:dyDescent="0.25">
      <c r="A194" s="1" t="s">
        <v>408</v>
      </c>
      <c r="B194" s="2" t="str">
        <f>HYPERLINK("https://www.elsevier.com/locate/issn/0002-9459", "American Journal of Pharmaceutical Education")</f>
        <v>American Journal of Pharmaceutical Education</v>
      </c>
      <c r="C194" s="1" t="s">
        <v>10</v>
      </c>
      <c r="D194" s="1">
        <v>2400</v>
      </c>
      <c r="E194" s="1">
        <v>2250</v>
      </c>
      <c r="F194" s="1">
        <v>1920</v>
      </c>
      <c r="G194" s="1">
        <v>297670</v>
      </c>
    </row>
    <row r="195" spans="1:7" x14ac:dyDescent="0.25">
      <c r="A195" s="1" t="s">
        <v>409</v>
      </c>
      <c r="B195" s="2" t="str">
        <f>HYPERLINK("https://www.elsevier.com/locate/issn/2666-6677", "American Journal of Preventive Cardiology")</f>
        <v>American Journal of Preventive Cardiology</v>
      </c>
      <c r="C195" s="1" t="s">
        <v>23</v>
      </c>
      <c r="D195" s="1">
        <v>1900</v>
      </c>
      <c r="E195" s="1">
        <v>1780</v>
      </c>
      <c r="F195" s="1">
        <v>1520</v>
      </c>
      <c r="G195" s="1">
        <v>235660</v>
      </c>
    </row>
    <row r="196" spans="1:7" x14ac:dyDescent="0.25">
      <c r="A196" s="1" t="s">
        <v>410</v>
      </c>
      <c r="B196" s="2" t="str">
        <f>HYPERLINK("https://www.elsevier.com/locate/issn/0749-3797", "American Journal of Preventive Medicine")</f>
        <v>American Journal of Preventive Medicine</v>
      </c>
      <c r="C196" s="1" t="s">
        <v>10</v>
      </c>
      <c r="D196" s="1">
        <v>3300</v>
      </c>
      <c r="E196" s="1">
        <v>3090</v>
      </c>
      <c r="F196" s="1">
        <v>2640</v>
      </c>
      <c r="G196" s="1">
        <v>409300</v>
      </c>
    </row>
    <row r="197" spans="1:7" x14ac:dyDescent="0.25">
      <c r="A197" s="1" t="s">
        <v>411</v>
      </c>
      <c r="B197" s="2" t="str">
        <f>HYPERLINK("https://www.elsevier.com/locate/issn/2215-0390", "Ampersand")</f>
        <v>Ampersand</v>
      </c>
      <c r="C197" s="1" t="s">
        <v>23</v>
      </c>
      <c r="D197" s="1">
        <v>1570</v>
      </c>
      <c r="E197" s="1">
        <v>1470</v>
      </c>
      <c r="F197" s="1">
        <v>1260</v>
      </c>
      <c r="G197" s="1">
        <v>194730</v>
      </c>
    </row>
    <row r="198" spans="1:7" x14ac:dyDescent="0.25">
      <c r="A198" s="1" t="s">
        <v>412</v>
      </c>
      <c r="B198" s="2" t="str">
        <f>HYPERLINK("https://www.elsevier.com/locate/issn/1075-9964", "Anaerobe")</f>
        <v>Anaerobe</v>
      </c>
      <c r="C198" s="1" t="s">
        <v>10</v>
      </c>
      <c r="D198" s="1">
        <v>3350</v>
      </c>
      <c r="E198" s="1">
        <v>3130</v>
      </c>
      <c r="F198" s="1">
        <v>2680</v>
      </c>
      <c r="G198" s="1">
        <v>415500</v>
      </c>
    </row>
    <row r="199" spans="1:7" x14ac:dyDescent="0.25">
      <c r="A199" s="1" t="s">
        <v>413</v>
      </c>
      <c r="B199" s="2" t="str">
        <f>HYPERLINK("https://www.elsevier.com/locate/issn/2352-5568", "Anaesthesia Critical Care &amp; Pain Medicine")</f>
        <v>Anaesthesia Critical Care &amp; Pain Medicine</v>
      </c>
      <c r="C199" s="1" t="s">
        <v>10</v>
      </c>
      <c r="D199" s="1">
        <v>3050</v>
      </c>
      <c r="E199" s="1">
        <v>2850</v>
      </c>
      <c r="F199" s="1">
        <v>2440</v>
      </c>
      <c r="G199" s="1">
        <v>378290</v>
      </c>
    </row>
    <row r="200" spans="1:7" x14ac:dyDescent="0.25">
      <c r="A200" s="1" t="s">
        <v>414</v>
      </c>
      <c r="B200" s="2" t="str">
        <f>HYPERLINK("https://www.elsevier.com/locate/issn/0365-0596", "Anais Brasileiros de Dermatologia")</f>
        <v>Anais Brasileiros de Dermatologia</v>
      </c>
      <c r="C200" s="1" t="s">
        <v>23</v>
      </c>
      <c r="D200" s="1">
        <v>1700</v>
      </c>
      <c r="E200" s="1">
        <v>1590</v>
      </c>
      <c r="F200" s="1">
        <v>1360</v>
      </c>
      <c r="G200" s="1">
        <v>210850</v>
      </c>
    </row>
    <row r="201" spans="1:7" x14ac:dyDescent="0.25">
      <c r="A201" s="1" t="s">
        <v>415</v>
      </c>
      <c r="B201" s="2" t="str">
        <f>HYPERLINK("https://www.elsevier.com/locate/issn/1695-4033", "Anales de Pediatría")</f>
        <v>Anales de Pediatría</v>
      </c>
      <c r="C201" s="1" t="s">
        <v>34</v>
      </c>
      <c r="D201" s="1" t="s">
        <v>324</v>
      </c>
      <c r="E201" s="1" t="s">
        <v>324</v>
      </c>
      <c r="F201" s="1" t="s">
        <v>324</v>
      </c>
      <c r="G201" s="1" t="s">
        <v>324</v>
      </c>
    </row>
    <row r="202" spans="1:7" x14ac:dyDescent="0.25">
      <c r="A202" s="1" t="s">
        <v>416</v>
      </c>
      <c r="B202" s="2" t="str">
        <f>HYPERLINK("https://www.elsevier.com/locate/issn/2341-2879", "Anales de Pediatría (English Edition)")</f>
        <v>Anales de Pediatría (English Edition)</v>
      </c>
      <c r="C202" s="1" t="s">
        <v>34</v>
      </c>
      <c r="D202" s="1" t="s">
        <v>324</v>
      </c>
      <c r="E202" s="1" t="s">
        <v>324</v>
      </c>
      <c r="F202" s="1" t="s">
        <v>324</v>
      </c>
      <c r="G202" s="1" t="s">
        <v>324</v>
      </c>
    </row>
    <row r="203" spans="1:7" x14ac:dyDescent="0.25">
      <c r="A203" s="1" t="s">
        <v>417</v>
      </c>
      <c r="B203" s="2" t="str">
        <f>HYPERLINK("https://www.elsevier.com/locate/issn/2213-6657", "Analytic Methods in Accident Research")</f>
        <v>Analytic Methods in Accident Research</v>
      </c>
      <c r="C203" s="1" t="s">
        <v>10</v>
      </c>
      <c r="D203" s="1">
        <v>5310</v>
      </c>
      <c r="E203" s="1">
        <v>4970</v>
      </c>
      <c r="F203" s="1">
        <v>4250</v>
      </c>
      <c r="G203" s="1">
        <v>658600</v>
      </c>
    </row>
    <row r="204" spans="1:7" x14ac:dyDescent="0.25">
      <c r="A204" s="1" t="s">
        <v>418</v>
      </c>
      <c r="B204" s="2" t="str">
        <f>HYPERLINK("https://www.elsevier.com/locate/issn/0003-2670", "Analytica Chimica Acta")</f>
        <v>Analytica Chimica Acta</v>
      </c>
      <c r="C204" s="1" t="s">
        <v>10</v>
      </c>
      <c r="D204" s="1">
        <v>4270</v>
      </c>
      <c r="E204" s="1">
        <v>3990</v>
      </c>
      <c r="F204" s="1">
        <v>3420</v>
      </c>
      <c r="G204" s="1">
        <v>529610</v>
      </c>
    </row>
    <row r="205" spans="1:7" x14ac:dyDescent="0.25">
      <c r="A205" s="1" t="s">
        <v>419</v>
      </c>
      <c r="B205" s="2" t="str">
        <f>HYPERLINK("https://www.elsevier.com/locate/issn/2590-1346", "Analytica Chimica Acta: X")</f>
        <v>Analytica Chimica Acta: X</v>
      </c>
      <c r="C205" s="1" t="s">
        <v>23</v>
      </c>
      <c r="D205" s="1">
        <v>1850</v>
      </c>
      <c r="E205" s="1">
        <v>1730</v>
      </c>
      <c r="F205" s="1">
        <v>1480</v>
      </c>
      <c r="G205" s="1">
        <v>229460</v>
      </c>
    </row>
    <row r="206" spans="1:7" x14ac:dyDescent="0.25">
      <c r="A206" s="1" t="s">
        <v>420</v>
      </c>
      <c r="B206" s="2" t="str">
        <f>HYPERLINK("https://www.elsevier.com/locate/issn/0003-2697", "Analytical Biochemistry")</f>
        <v>Analytical Biochemistry</v>
      </c>
      <c r="C206" s="1" t="s">
        <v>10</v>
      </c>
      <c r="D206" s="1">
        <v>3540</v>
      </c>
      <c r="E206" s="1">
        <v>3310</v>
      </c>
      <c r="F206" s="1">
        <v>2830</v>
      </c>
      <c r="G206" s="1">
        <v>439070</v>
      </c>
    </row>
    <row r="207" spans="1:7" x14ac:dyDescent="0.25">
      <c r="A207" s="1" t="s">
        <v>421</v>
      </c>
      <c r="B207" s="2" t="str">
        <f>HYPERLINK("https://www.elsevier.com/locate/issn/2352-5800", "Anesthésie &amp; Réanimation")</f>
        <v>Anesthésie &amp; Réanimation</v>
      </c>
      <c r="C207" s="1" t="s">
        <v>10</v>
      </c>
      <c r="D207" s="1">
        <v>3050</v>
      </c>
      <c r="E207" s="1">
        <v>2780</v>
      </c>
      <c r="F207" s="1">
        <v>2440</v>
      </c>
      <c r="G207" s="1">
        <v>378290</v>
      </c>
    </row>
    <row r="208" spans="1:7" x14ac:dyDescent="0.25">
      <c r="A208" s="1" t="s">
        <v>422</v>
      </c>
      <c r="B208" s="2" t="str">
        <f>HYPERLINK("https://www.elsevier.com/locate/issn/1751-7311", "Animal")</f>
        <v>Animal</v>
      </c>
      <c r="C208" s="1" t="s">
        <v>23</v>
      </c>
      <c r="D208" s="1">
        <v>2000</v>
      </c>
      <c r="E208" s="1">
        <v>1820</v>
      </c>
      <c r="F208" s="1">
        <v>1600</v>
      </c>
      <c r="G208" s="1">
        <v>248060</v>
      </c>
    </row>
    <row r="209" spans="1:7" x14ac:dyDescent="0.25">
      <c r="A209" s="1" t="s">
        <v>423</v>
      </c>
      <c r="B209" s="2" t="str">
        <f>HYPERLINK("https://www.elsevier.com/locate/issn/2772-6940", "Animal - Open Space")</f>
        <v>Animal - Open Space</v>
      </c>
      <c r="C209" s="1" t="s">
        <v>23</v>
      </c>
      <c r="D209" s="1">
        <v>1530</v>
      </c>
      <c r="E209" s="1">
        <v>1430</v>
      </c>
      <c r="F209" s="1">
        <v>1230</v>
      </c>
      <c r="G209" s="1">
        <v>189770</v>
      </c>
    </row>
    <row r="210" spans="1:7" x14ac:dyDescent="0.25">
      <c r="A210" s="1" t="s">
        <v>424</v>
      </c>
      <c r="B210" s="2" t="str">
        <f>HYPERLINK("https://www.elsevier.com/locate/issn/0003-3472", "Animal Behaviour")</f>
        <v>Animal Behaviour</v>
      </c>
      <c r="C210" s="1" t="s">
        <v>10</v>
      </c>
      <c r="D210" s="1">
        <v>2740</v>
      </c>
      <c r="E210" s="1">
        <v>2560</v>
      </c>
      <c r="F210" s="1">
        <v>2190</v>
      </c>
      <c r="G210" s="1">
        <v>339840</v>
      </c>
    </row>
    <row r="211" spans="1:7" x14ac:dyDescent="0.25">
      <c r="A211" s="1" t="s">
        <v>425</v>
      </c>
      <c r="B211" s="2" t="str">
        <f>HYPERLINK("https://www.elsevier.com/locate/issn/0377-8401", "Animal Feed Science and Technology")</f>
        <v>Animal Feed Science and Technology</v>
      </c>
      <c r="C211" s="1" t="s">
        <v>10</v>
      </c>
      <c r="D211" s="1">
        <v>3250</v>
      </c>
      <c r="E211" s="1">
        <v>3040</v>
      </c>
      <c r="F211" s="1">
        <v>2600</v>
      </c>
      <c r="G211" s="1">
        <v>403100</v>
      </c>
    </row>
    <row r="212" spans="1:7" x14ac:dyDescent="0.25">
      <c r="A212" s="1" t="s">
        <v>426</v>
      </c>
      <c r="B212" s="2" t="str">
        <f>HYPERLINK("https://www.elsevier.com/locate/issn/2405-6545", "Animal Nutrition")</f>
        <v>Animal Nutrition</v>
      </c>
      <c r="C212" s="1" t="s">
        <v>34</v>
      </c>
      <c r="D212" s="1" t="s">
        <v>324</v>
      </c>
      <c r="E212" s="1" t="s">
        <v>324</v>
      </c>
      <c r="F212" s="1" t="s">
        <v>324</v>
      </c>
      <c r="G212" s="1" t="s">
        <v>324</v>
      </c>
    </row>
    <row r="213" spans="1:7" x14ac:dyDescent="0.25">
      <c r="A213" s="1" t="s">
        <v>427</v>
      </c>
      <c r="B213" s="2" t="str">
        <f>HYPERLINK("https://www.elsevier.com/locate/issn/0378-4320", "Animal Reproduction Science")</f>
        <v>Animal Reproduction Science</v>
      </c>
      <c r="C213" s="1" t="s">
        <v>10</v>
      </c>
      <c r="D213" s="1">
        <v>3770</v>
      </c>
      <c r="E213" s="1">
        <v>3530</v>
      </c>
      <c r="F213" s="1">
        <v>3020</v>
      </c>
      <c r="G213" s="1">
        <v>467590</v>
      </c>
    </row>
    <row r="214" spans="1:7" x14ac:dyDescent="0.25">
      <c r="A214" s="1" t="s">
        <v>428</v>
      </c>
      <c r="B214" s="2" t="str">
        <f>HYPERLINK("https://www.elsevier.com/locate/issn/2950-2489", "Animals and Zoonoses")</f>
        <v>Animals and Zoonoses</v>
      </c>
      <c r="C214" s="1" t="s">
        <v>34</v>
      </c>
      <c r="D214" s="1" t="s">
        <v>324</v>
      </c>
      <c r="E214" s="1" t="s">
        <v>324</v>
      </c>
      <c r="F214" s="1" t="s">
        <v>324</v>
      </c>
      <c r="G214" s="1" t="s">
        <v>324</v>
      </c>
    </row>
    <row r="215" spans="1:7" x14ac:dyDescent="0.25">
      <c r="A215" s="1" t="s">
        <v>429</v>
      </c>
      <c r="B215" s="2" t="str">
        <f>HYPERLINK("https://www.elsevier.com/locate/issn/0003-4266", "Annales d'Endocrinologie")</f>
        <v>Annales d'Endocrinologie</v>
      </c>
      <c r="C215" s="1" t="s">
        <v>10</v>
      </c>
      <c r="D215" s="1">
        <v>3390</v>
      </c>
      <c r="E215" s="1">
        <v>3090</v>
      </c>
      <c r="F215" s="1">
        <v>2710</v>
      </c>
      <c r="G215" s="1">
        <v>420460</v>
      </c>
    </row>
    <row r="216" spans="1:7" x14ac:dyDescent="0.25">
      <c r="A216" s="1" t="s">
        <v>430</v>
      </c>
      <c r="B216" s="2" t="str">
        <f>HYPERLINK("https://www.elsevier.com/locate/issn/0294-1260", "Annales de Chirurgie Plastique Esthétique")</f>
        <v>Annales de Chirurgie Plastique Esthétique</v>
      </c>
      <c r="C216" s="1" t="s">
        <v>10</v>
      </c>
      <c r="D216" s="1">
        <v>2710</v>
      </c>
      <c r="E216" s="1">
        <v>2470</v>
      </c>
      <c r="F216" s="1">
        <v>2170</v>
      </c>
      <c r="G216" s="1">
        <v>336120</v>
      </c>
    </row>
    <row r="217" spans="1:7" x14ac:dyDescent="0.25">
      <c r="A217" s="1" t="s">
        <v>431</v>
      </c>
      <c r="B217" s="2" t="str">
        <f>HYPERLINK("https://www.elsevier.com/locate/issn/0151-9638", "Annales de Dermatologie et de Vénéréologie")</f>
        <v>Annales de Dermatologie et de Vénéréologie</v>
      </c>
      <c r="C217" s="1" t="s">
        <v>10</v>
      </c>
      <c r="D217" s="1">
        <v>2040</v>
      </c>
      <c r="E217" s="1">
        <v>1860</v>
      </c>
      <c r="F217" s="1">
        <v>1630</v>
      </c>
      <c r="G217" s="1">
        <v>253020</v>
      </c>
    </row>
    <row r="218" spans="1:7" x14ac:dyDescent="0.25">
      <c r="A218" s="1" t="s">
        <v>432</v>
      </c>
      <c r="B218" s="2" t="str">
        <f>HYPERLINK("https://www.elsevier.com/locate/issn/0242-6498", "Annales de Pathologie")</f>
        <v>Annales de Pathologie</v>
      </c>
      <c r="C218" s="1" t="s">
        <v>10</v>
      </c>
      <c r="D218" s="1">
        <v>2110</v>
      </c>
      <c r="E218" s="1">
        <v>1920</v>
      </c>
      <c r="F218" s="1">
        <v>1690</v>
      </c>
      <c r="G218" s="1">
        <v>261700</v>
      </c>
    </row>
    <row r="219" spans="1:7" ht="30" x14ac:dyDescent="0.25">
      <c r="A219" s="1" t="s">
        <v>433</v>
      </c>
      <c r="B219" s="2" t="str">
        <f>HYPERLINK("https://www.elsevier.com/locate/issn/1879-7261", "Annales françaises d’Oto-rhino-laryngologie et de Pathologie Cervico-faciale")</f>
        <v>Annales françaises d’Oto-rhino-laryngologie et de Pathologie Cervico-faciale</v>
      </c>
      <c r="C219" s="1" t="s">
        <v>10</v>
      </c>
      <c r="D219" s="1">
        <v>3100</v>
      </c>
      <c r="E219" s="1">
        <v>2830</v>
      </c>
      <c r="F219" s="1">
        <v>2480</v>
      </c>
      <c r="G219" s="1">
        <v>384490</v>
      </c>
    </row>
    <row r="220" spans="1:7" x14ac:dyDescent="0.25">
      <c r="A220" s="1" t="s">
        <v>434</v>
      </c>
      <c r="B220" s="2" t="str">
        <f>HYPERLINK("https://www.elsevier.com/locate/issn/0003-4487", "Annales Médico-psychologiques, revue psychiatrique")</f>
        <v>Annales Médico-psychologiques, revue psychiatrique</v>
      </c>
      <c r="C220" s="1" t="s">
        <v>10</v>
      </c>
      <c r="D220" s="1">
        <v>2520</v>
      </c>
      <c r="E220" s="1">
        <v>2300</v>
      </c>
      <c r="F220" s="1">
        <v>2020</v>
      </c>
      <c r="G220" s="1">
        <v>312560</v>
      </c>
    </row>
    <row r="221" spans="1:7" x14ac:dyDescent="0.25">
      <c r="A221" s="1" t="s">
        <v>435</v>
      </c>
      <c r="B221" s="2" t="str">
        <f>HYPERLINK("https://www.elsevier.com/locate/issn/0003-4509", "Annales Pharmaceutiques Françaises")</f>
        <v>Annales Pharmaceutiques Françaises</v>
      </c>
      <c r="C221" s="1" t="s">
        <v>436</v>
      </c>
      <c r="D221" s="1" t="s">
        <v>324</v>
      </c>
      <c r="E221" s="1" t="s">
        <v>324</v>
      </c>
      <c r="F221" s="1" t="s">
        <v>324</v>
      </c>
      <c r="G221" s="1" t="s">
        <v>324</v>
      </c>
    </row>
    <row r="222" spans="1:7" x14ac:dyDescent="0.25">
      <c r="A222" s="1" t="s">
        <v>437</v>
      </c>
      <c r="B222" s="2" t="str">
        <f>HYPERLINK("https://www.elsevier.com/locate/issn/2666-9641", "Annals of 3D Printed Medicine")</f>
        <v>Annals of 3D Printed Medicine</v>
      </c>
      <c r="C222" s="1" t="s">
        <v>23</v>
      </c>
      <c r="D222" s="1">
        <v>2110</v>
      </c>
      <c r="E222" s="1">
        <v>1970</v>
      </c>
      <c r="F222" s="1">
        <v>1690</v>
      </c>
      <c r="G222" s="1">
        <v>261700</v>
      </c>
    </row>
    <row r="223" spans="1:7" x14ac:dyDescent="0.25">
      <c r="A223" s="1" t="s">
        <v>438</v>
      </c>
      <c r="B223" s="2" t="str">
        <f>HYPERLINK("https://www.elsevier.com/locate/issn/0570-1783", "Annals of Agricultural Sciences")</f>
        <v>Annals of Agricultural Sciences</v>
      </c>
      <c r="C223" s="1" t="s">
        <v>23</v>
      </c>
      <c r="D223" s="1">
        <v>1000</v>
      </c>
      <c r="E223" s="1">
        <v>940</v>
      </c>
      <c r="F223" s="1">
        <v>800</v>
      </c>
      <c r="G223" s="1">
        <v>121010</v>
      </c>
    </row>
    <row r="224" spans="1:7" x14ac:dyDescent="0.25">
      <c r="A224" s="1" t="s">
        <v>439</v>
      </c>
      <c r="B224" s="2" t="str">
        <f>HYPERLINK("https://www.elsevier.com/locate/issn/0940-9602", "Annals of Anatomy - Anatomischer Anzeiger")</f>
        <v>Annals of Anatomy - Anatomischer Anzeiger</v>
      </c>
      <c r="C224" s="1" t="s">
        <v>10</v>
      </c>
      <c r="D224" s="1">
        <v>3970</v>
      </c>
      <c r="E224" s="1">
        <v>3710</v>
      </c>
      <c r="F224" s="1">
        <v>3180</v>
      </c>
      <c r="G224" s="1">
        <v>492400</v>
      </c>
    </row>
    <row r="225" spans="1:7" x14ac:dyDescent="0.25">
      <c r="A225" s="1" t="s">
        <v>440</v>
      </c>
      <c r="B225" s="2" t="str">
        <f>HYPERLINK("https://www.elsevier.com/locate/issn/1092-9134", "Annals of Diagnostic Pathology")</f>
        <v>Annals of Diagnostic Pathology</v>
      </c>
      <c r="C225" s="1" t="s">
        <v>10</v>
      </c>
      <c r="D225" s="1">
        <v>3580</v>
      </c>
      <c r="E225" s="1">
        <v>3350</v>
      </c>
      <c r="F225" s="1">
        <v>2870</v>
      </c>
      <c r="G225" s="1">
        <v>444030</v>
      </c>
    </row>
    <row r="226" spans="1:7" x14ac:dyDescent="0.25">
      <c r="A226" s="1" t="s">
        <v>441</v>
      </c>
      <c r="B226" s="2" t="str">
        <f>HYPERLINK("https://www.elsevier.com/locate/issn/0196-0644", "Annals of Emergency Medicine")</f>
        <v>Annals of Emergency Medicine</v>
      </c>
      <c r="C226" s="1" t="s">
        <v>10</v>
      </c>
      <c r="D226" s="1">
        <v>3850</v>
      </c>
      <c r="E226" s="1">
        <v>3600</v>
      </c>
      <c r="F226" s="1">
        <v>3080</v>
      </c>
      <c r="G226" s="1">
        <v>477520</v>
      </c>
    </row>
    <row r="227" spans="1:7" x14ac:dyDescent="0.25">
      <c r="A227" s="1" t="s">
        <v>442</v>
      </c>
      <c r="B227" s="2" t="str">
        <f>HYPERLINK("https://www.elsevier.com/locate/issn/1047-2797", "Annals of Epidemiology")</f>
        <v>Annals of Epidemiology</v>
      </c>
      <c r="C227" s="1" t="s">
        <v>10</v>
      </c>
      <c r="D227" s="1">
        <v>3820</v>
      </c>
      <c r="E227" s="1">
        <v>3570</v>
      </c>
      <c r="F227" s="1">
        <v>3060</v>
      </c>
      <c r="G227" s="1">
        <v>473790</v>
      </c>
    </row>
    <row r="228" spans="1:7" x14ac:dyDescent="0.25">
      <c r="A228" s="1" t="s">
        <v>443</v>
      </c>
      <c r="B228" s="2" t="str">
        <f>HYPERLINK("https://www.elsevier.com/locate/issn/1665-2681", "Annals of Hepatology")</f>
        <v>Annals of Hepatology</v>
      </c>
      <c r="C228" s="1" t="s">
        <v>23</v>
      </c>
      <c r="D228" s="1">
        <v>1500</v>
      </c>
      <c r="E228" s="1">
        <v>1400</v>
      </c>
      <c r="F228" s="1">
        <v>1200</v>
      </c>
      <c r="G228" s="1">
        <v>186050</v>
      </c>
    </row>
    <row r="229" spans="1:7" x14ac:dyDescent="0.25">
      <c r="A229" s="1" t="s">
        <v>444</v>
      </c>
      <c r="B229" s="2" t="str">
        <f>HYPERLINK("https://www.elsevier.com/locate/issn/2049-0801", "Annals of Medicine and Surgery")</f>
        <v>Annals of Medicine and Surgery</v>
      </c>
      <c r="C229" s="1" t="s">
        <v>23</v>
      </c>
      <c r="D229" s="1">
        <v>1850</v>
      </c>
      <c r="E229" s="1">
        <v>1730</v>
      </c>
      <c r="F229" s="1">
        <v>1480</v>
      </c>
      <c r="G229" s="1">
        <v>229460</v>
      </c>
    </row>
    <row r="230" spans="1:7" x14ac:dyDescent="0.25">
      <c r="A230" s="1" t="s">
        <v>445</v>
      </c>
      <c r="B230" s="2" t="str">
        <f>HYPERLINK("https://www.elsevier.com/locate/issn/0306-4549", "Annals of Nuclear Energy")</f>
        <v>Annals of Nuclear Energy</v>
      </c>
      <c r="C230" s="1" t="s">
        <v>10</v>
      </c>
      <c r="D230" s="1">
        <v>2820</v>
      </c>
      <c r="E230" s="1">
        <v>2640</v>
      </c>
      <c r="F230" s="1">
        <v>2260</v>
      </c>
      <c r="G230" s="1">
        <v>349760</v>
      </c>
    </row>
    <row r="231" spans="1:7" x14ac:dyDescent="0.25">
      <c r="A231" s="1" t="s">
        <v>446</v>
      </c>
      <c r="B231" s="2" t="str">
        <f>HYPERLINK("https://www.elsevier.com/locate/issn/0923-7534", "Annals of Oncology")</f>
        <v>Annals of Oncology</v>
      </c>
      <c r="C231" s="1" t="s">
        <v>10</v>
      </c>
      <c r="D231" s="1">
        <v>5080</v>
      </c>
      <c r="E231" s="1">
        <v>4750</v>
      </c>
      <c r="F231" s="1">
        <v>4070</v>
      </c>
      <c r="G231" s="1">
        <v>630070</v>
      </c>
    </row>
    <row r="232" spans="1:7" x14ac:dyDescent="0.25">
      <c r="A232" s="1" t="s">
        <v>447</v>
      </c>
      <c r="B232" s="2" t="str">
        <f>HYPERLINK("https://www.elsevier.com/locate/issn/1877-0657", "Annals of Physical and Rehabilitation Medicine")</f>
        <v>Annals of Physical and Rehabilitation Medicine</v>
      </c>
      <c r="C232" s="1" t="s">
        <v>10</v>
      </c>
      <c r="D232" s="1">
        <v>4030</v>
      </c>
      <c r="E232" s="1">
        <v>3680</v>
      </c>
      <c r="F232" s="1">
        <v>3230</v>
      </c>
      <c r="G232" s="1">
        <v>499840</v>
      </c>
    </row>
    <row r="233" spans="1:7" x14ac:dyDescent="0.25">
      <c r="A233" s="1" t="s">
        <v>448</v>
      </c>
      <c r="B233" s="2" t="str">
        <f>HYPERLINK("https://www.elsevier.com/locate/issn/0003-4916", "Annals of Physics")</f>
        <v>Annals of Physics</v>
      </c>
      <c r="C233" s="1" t="s">
        <v>10</v>
      </c>
      <c r="D233" s="1">
        <v>3160</v>
      </c>
      <c r="E233" s="1">
        <v>2960</v>
      </c>
      <c r="F233" s="1">
        <v>2530</v>
      </c>
      <c r="G233" s="1">
        <v>391930</v>
      </c>
    </row>
    <row r="234" spans="1:7" x14ac:dyDescent="0.25">
      <c r="A234" s="1" t="s">
        <v>449</v>
      </c>
      <c r="B234" s="2" t="str">
        <f>HYPERLINK("https://www.elsevier.com/locate/issn/0168-0072", "Annals of Pure and Applied Logic")</f>
        <v>Annals of Pure and Applied Logic</v>
      </c>
      <c r="C234" s="1" t="s">
        <v>10</v>
      </c>
      <c r="D234" s="1">
        <v>3520</v>
      </c>
      <c r="E234" s="1">
        <v>3290</v>
      </c>
      <c r="F234" s="1">
        <v>2820</v>
      </c>
      <c r="G234" s="1">
        <v>436590</v>
      </c>
    </row>
    <row r="235" spans="1:7" x14ac:dyDescent="0.25">
      <c r="A235" s="1" t="s">
        <v>450</v>
      </c>
      <c r="B235" s="2" t="str">
        <f>HYPERLINK("https://www.elsevier.com/locate/issn/0003-4967", "Annals of the Rheumatic Diseases")</f>
        <v>Annals of the Rheumatic Diseases</v>
      </c>
      <c r="C235" s="1" t="s">
        <v>10</v>
      </c>
      <c r="D235" s="1">
        <v>4870</v>
      </c>
      <c r="E235" s="1">
        <v>4560</v>
      </c>
      <c r="F235" s="1">
        <v>3900</v>
      </c>
      <c r="G235" s="1">
        <v>604030</v>
      </c>
    </row>
    <row r="236" spans="1:7" x14ac:dyDescent="0.25">
      <c r="A236" s="1" t="s">
        <v>451</v>
      </c>
      <c r="B236" s="2" t="str">
        <f>HYPERLINK("https://www.elsevier.com/locate/issn/2772-9931", "Annals of Thoracic Surgery Short Reports")</f>
        <v>Annals of Thoracic Surgery Short Reports</v>
      </c>
      <c r="C236" s="1" t="s">
        <v>23</v>
      </c>
      <c r="D236" s="1">
        <v>975</v>
      </c>
      <c r="E236" s="1">
        <v>910</v>
      </c>
      <c r="F236" s="1">
        <v>780</v>
      </c>
      <c r="G236" s="1">
        <v>120930</v>
      </c>
    </row>
    <row r="237" spans="1:7" x14ac:dyDescent="0.25">
      <c r="A237" s="1" t="s">
        <v>452</v>
      </c>
      <c r="B237" s="2" t="str">
        <f>HYPERLINK("https://www.elsevier.com/locate/issn/0160-7383", "Annals of Tourism Research")</f>
        <v>Annals of Tourism Research</v>
      </c>
      <c r="C237" s="1" t="s">
        <v>10</v>
      </c>
      <c r="D237" s="1">
        <v>4060</v>
      </c>
      <c r="E237" s="1">
        <v>3800</v>
      </c>
      <c r="F237" s="1">
        <v>3250</v>
      </c>
      <c r="G237" s="1">
        <v>503560</v>
      </c>
    </row>
    <row r="238" spans="1:7" x14ac:dyDescent="0.25">
      <c r="A238" s="1" t="s">
        <v>453</v>
      </c>
      <c r="B238" s="2" t="str">
        <f>HYPERLINK("https://www.elsevier.com/locate/issn/2666-9579", "Annals of Tourism Research Empirical Insights")</f>
        <v>Annals of Tourism Research Empirical Insights</v>
      </c>
      <c r="C238" s="1" t="s">
        <v>23</v>
      </c>
      <c r="D238" s="1">
        <v>1550</v>
      </c>
      <c r="E238" s="1">
        <v>1450</v>
      </c>
      <c r="F238" s="1">
        <v>1240</v>
      </c>
      <c r="G238" s="1">
        <v>192250</v>
      </c>
    </row>
    <row r="239" spans="1:7" x14ac:dyDescent="0.25">
      <c r="A239" s="1" t="s">
        <v>454</v>
      </c>
      <c r="B239" s="2" t="str">
        <f>HYPERLINK("https://www.elsevier.com/locate/issn/0890-5096", "Annals of Vascular Surgery")</f>
        <v>Annals of Vascular Surgery</v>
      </c>
      <c r="C239" s="1" t="s">
        <v>10</v>
      </c>
      <c r="D239" s="1">
        <v>3560</v>
      </c>
      <c r="E239" s="1">
        <v>3330</v>
      </c>
      <c r="F239" s="1">
        <v>2850</v>
      </c>
      <c r="G239" s="1">
        <v>441550</v>
      </c>
    </row>
    <row r="240" spans="1:7" x14ac:dyDescent="0.25">
      <c r="A240" s="1" t="s">
        <v>455</v>
      </c>
      <c r="B240" s="2" t="str">
        <f>HYPERLINK("https://www.elsevier.com/locate/issn/2772-6878", "Annals of Vascular Surgery - Brief Reports and Innovations")</f>
        <v>Annals of Vascular Surgery - Brief Reports and Innovations</v>
      </c>
      <c r="C240" s="1" t="s">
        <v>23</v>
      </c>
      <c r="D240" s="1">
        <v>1490</v>
      </c>
      <c r="E240" s="1">
        <v>1390</v>
      </c>
      <c r="F240" s="1">
        <v>1190</v>
      </c>
      <c r="G240" s="1">
        <v>184800</v>
      </c>
    </row>
    <row r="241" spans="1:7" x14ac:dyDescent="0.25">
      <c r="A241" s="1" t="s">
        <v>456</v>
      </c>
      <c r="B241" s="2" t="str">
        <f>HYPERLINK("https://www.elsevier.com/locate/issn/1367-5788", "Annual Reviews in Control")</f>
        <v>Annual Reviews in Control</v>
      </c>
      <c r="C241" s="1" t="s">
        <v>10</v>
      </c>
      <c r="D241" s="1">
        <v>3940</v>
      </c>
      <c r="E241" s="1">
        <v>3690</v>
      </c>
      <c r="F241" s="1">
        <v>3150</v>
      </c>
      <c r="G241" s="1">
        <v>488680</v>
      </c>
    </row>
    <row r="242" spans="1:7" x14ac:dyDescent="0.25">
      <c r="A242" s="1" t="s">
        <v>457</v>
      </c>
      <c r="B242" s="2" t="str">
        <f>HYPERLINK("https://www.elsevier.com/locate/issn/2213-3054", "Anthropocene")</f>
        <v>Anthropocene</v>
      </c>
      <c r="C242" s="1" t="s">
        <v>10</v>
      </c>
      <c r="D242" s="1">
        <v>3770</v>
      </c>
      <c r="E242" s="1">
        <v>3530</v>
      </c>
      <c r="F242" s="1">
        <v>3020</v>
      </c>
      <c r="G242" s="1">
        <v>467590</v>
      </c>
    </row>
    <row r="243" spans="1:7" x14ac:dyDescent="0.25">
      <c r="A243" s="1" t="s">
        <v>458</v>
      </c>
      <c r="B243" s="2" t="str">
        <f>HYPERLINK("https://www.elsevier.com/locate/issn/0166-3542", "Antiviral Research")</f>
        <v>Antiviral Research</v>
      </c>
      <c r="C243" s="1" t="s">
        <v>10</v>
      </c>
      <c r="D243" s="1">
        <v>4160</v>
      </c>
      <c r="E243" s="1">
        <v>3890</v>
      </c>
      <c r="F243" s="1">
        <v>3330</v>
      </c>
      <c r="G243" s="1">
        <v>515960</v>
      </c>
    </row>
    <row r="244" spans="1:7" x14ac:dyDescent="0.25">
      <c r="A244" s="1" t="s">
        <v>459</v>
      </c>
      <c r="B244" s="2" t="str">
        <f>HYPERLINK("https://www.elsevier.com/locate/issn/0195-6663", "Appetite")</f>
        <v>Appetite</v>
      </c>
      <c r="C244" s="1" t="s">
        <v>10</v>
      </c>
      <c r="D244" s="1">
        <v>4190</v>
      </c>
      <c r="E244" s="1">
        <v>3920</v>
      </c>
      <c r="F244" s="1">
        <v>3350</v>
      </c>
      <c r="G244" s="1">
        <v>519690</v>
      </c>
    </row>
    <row r="245" spans="1:7" x14ac:dyDescent="0.25">
      <c r="A245" s="1" t="s">
        <v>460</v>
      </c>
      <c r="B245" s="2" t="str">
        <f>HYPERLINK("https://www.elsevier.com/locate/issn/2666-352X", "Applications in Energy and Combustion Science")</f>
        <v>Applications in Energy and Combustion Science</v>
      </c>
      <c r="C245" s="1" t="s">
        <v>23</v>
      </c>
      <c r="D245" s="1">
        <v>1910</v>
      </c>
      <c r="E245" s="1">
        <v>1790</v>
      </c>
      <c r="F245" s="1">
        <v>1530</v>
      </c>
      <c r="G245" s="1">
        <v>236900</v>
      </c>
    </row>
    <row r="246" spans="1:7" x14ac:dyDescent="0.25">
      <c r="A246" s="1" t="s">
        <v>461</v>
      </c>
      <c r="B246" s="2" t="str">
        <f>HYPERLINK("https://www.elsevier.com/locate/issn/2666-4968", "Applications in Engineering Science")</f>
        <v>Applications in Engineering Science</v>
      </c>
      <c r="C246" s="1" t="s">
        <v>23</v>
      </c>
      <c r="D246" s="1">
        <v>2420</v>
      </c>
      <c r="E246" s="1">
        <v>2260</v>
      </c>
      <c r="F246" s="1">
        <v>1940</v>
      </c>
      <c r="G246" s="1">
        <v>300150</v>
      </c>
    </row>
    <row r="247" spans="1:7" x14ac:dyDescent="0.25">
      <c r="A247" s="1" t="s">
        <v>462</v>
      </c>
      <c r="B247" s="2" t="str">
        <f>HYPERLINK("https://www.elsevier.com/locate/issn/0003-682X", "Applied Acoustics")</f>
        <v>Applied Acoustics</v>
      </c>
      <c r="C247" s="1" t="s">
        <v>10</v>
      </c>
      <c r="D247" s="1">
        <v>3820</v>
      </c>
      <c r="E247" s="1">
        <v>3570</v>
      </c>
      <c r="F247" s="1">
        <v>3060</v>
      </c>
      <c r="G247" s="1">
        <v>473790</v>
      </c>
    </row>
    <row r="248" spans="1:7" x14ac:dyDescent="0.25">
      <c r="A248" s="1" t="s">
        <v>463</v>
      </c>
      <c r="B248" s="2" t="str">
        <f>HYPERLINK("https://www.elsevier.com/locate/issn/1063-5203", "Applied and Computational Harmonic Analysis")</f>
        <v>Applied and Computational Harmonic Analysis</v>
      </c>
      <c r="C248" s="1" t="s">
        <v>10</v>
      </c>
      <c r="D248" s="1">
        <v>3150</v>
      </c>
      <c r="E248" s="1">
        <v>2950</v>
      </c>
      <c r="F248" s="1">
        <v>2520</v>
      </c>
      <c r="G248" s="1">
        <v>390690</v>
      </c>
    </row>
    <row r="249" spans="1:7" x14ac:dyDescent="0.25">
      <c r="A249" s="1" t="s">
        <v>464</v>
      </c>
      <c r="B249" s="2" t="str">
        <f>HYPERLINK("https://www.elsevier.com/locate/issn/0168-1591", "Applied Animal Behaviour Science")</f>
        <v>Applied Animal Behaviour Science</v>
      </c>
      <c r="C249" s="1" t="s">
        <v>10</v>
      </c>
      <c r="D249" s="1">
        <v>3220</v>
      </c>
      <c r="E249" s="1">
        <v>3010</v>
      </c>
      <c r="F249" s="1">
        <v>2580</v>
      </c>
      <c r="G249" s="1">
        <v>399380</v>
      </c>
    </row>
    <row r="250" spans="1:7" x14ac:dyDescent="0.25">
      <c r="A250" s="1" t="s">
        <v>465</v>
      </c>
      <c r="B250" s="2" t="str">
        <f>HYPERLINK("https://www.elsevier.com/locate/issn/2590-2865", "Applied Animal Science")</f>
        <v>Applied Animal Science</v>
      </c>
      <c r="C250" s="1" t="s">
        <v>23</v>
      </c>
      <c r="D250" s="1">
        <v>1850</v>
      </c>
      <c r="E250" s="1">
        <v>1730</v>
      </c>
      <c r="F250" s="1">
        <v>1480</v>
      </c>
      <c r="G250" s="1">
        <v>229460</v>
      </c>
    </row>
    <row r="251" spans="1:7" x14ac:dyDescent="0.25">
      <c r="A251" s="1" t="s">
        <v>466</v>
      </c>
      <c r="B251" s="2" t="str">
        <f>HYPERLINK("https://www.elsevier.com/locate/issn/0926-860X", "Applied Catalysis A: General")</f>
        <v>Applied Catalysis A: General</v>
      </c>
      <c r="C251" s="1" t="s">
        <v>10</v>
      </c>
      <c r="D251" s="1">
        <v>3760</v>
      </c>
      <c r="E251" s="1">
        <v>3520</v>
      </c>
      <c r="F251" s="1">
        <v>3010</v>
      </c>
      <c r="G251" s="1">
        <v>466350</v>
      </c>
    </row>
    <row r="252" spans="1:7" x14ac:dyDescent="0.25">
      <c r="A252" s="1" t="s">
        <v>467</v>
      </c>
      <c r="B252" s="2" t="str">
        <f>HYPERLINK("https://www.elsevier.com/locate/issn/0926-3373", "Applied Catalysis B: Environmental")</f>
        <v>Applied Catalysis B: Environmental</v>
      </c>
      <c r="C252" s="1" t="s">
        <v>10</v>
      </c>
      <c r="D252" s="1">
        <v>5950</v>
      </c>
      <c r="E252" s="1">
        <v>5570</v>
      </c>
      <c r="F252" s="1">
        <v>4760</v>
      </c>
      <c r="G252" s="1">
        <v>737980</v>
      </c>
    </row>
    <row r="253" spans="1:7" x14ac:dyDescent="0.25">
      <c r="A253" s="1" t="s">
        <v>468</v>
      </c>
      <c r="B253" s="2" t="str">
        <f>HYPERLINK("https://www.elsevier.com/locate/issn/2950-6484", "Applied Catalysis O: Open")</f>
        <v>Applied Catalysis O: Open</v>
      </c>
      <c r="C253" s="1" t="s">
        <v>23</v>
      </c>
      <c r="D253" s="1">
        <v>2140</v>
      </c>
      <c r="E253" s="1">
        <v>2000</v>
      </c>
      <c r="F253" s="1">
        <v>1710</v>
      </c>
      <c r="G253" s="1">
        <v>265420</v>
      </c>
    </row>
    <row r="254" spans="1:7" x14ac:dyDescent="0.25">
      <c r="A254" s="1" t="s">
        <v>469</v>
      </c>
      <c r="B254" s="2" t="str">
        <f>HYPERLINK("https://www.elsevier.com/locate/issn/0169-1317", "Applied Clay Science")</f>
        <v>Applied Clay Science</v>
      </c>
      <c r="C254" s="1" t="s">
        <v>10</v>
      </c>
      <c r="D254" s="1">
        <v>3810</v>
      </c>
      <c r="E254" s="1">
        <v>3560</v>
      </c>
      <c r="F254" s="1">
        <v>3050</v>
      </c>
      <c r="G254" s="1">
        <v>472550</v>
      </c>
    </row>
    <row r="255" spans="1:7" x14ac:dyDescent="0.25">
      <c r="A255" s="1" t="s">
        <v>470</v>
      </c>
      <c r="B255" s="2" t="str">
        <f>HYPERLINK("https://www.elsevier.com/locate/issn/2590-1974", "Applied Computing and Geosciences")</f>
        <v>Applied Computing and Geosciences</v>
      </c>
      <c r="C255" s="1" t="s">
        <v>23</v>
      </c>
      <c r="D255" s="1">
        <v>2040</v>
      </c>
      <c r="E255" s="1">
        <v>1910</v>
      </c>
      <c r="F255" s="1">
        <v>1630</v>
      </c>
      <c r="G255" s="1">
        <v>253020</v>
      </c>
    </row>
    <row r="256" spans="1:7" x14ac:dyDescent="0.25">
      <c r="A256" s="1" t="s">
        <v>471</v>
      </c>
      <c r="B256" s="2" t="str">
        <f>HYPERLINK("https://www.elsevier.com/locate/issn/2666-7991", "Applied Corpus Linguistics")</f>
        <v>Applied Corpus Linguistics</v>
      </c>
      <c r="C256" s="1" t="s">
        <v>10</v>
      </c>
      <c r="D256" s="1">
        <v>1440</v>
      </c>
      <c r="E256" s="1">
        <v>1350</v>
      </c>
      <c r="F256" s="1">
        <v>1150</v>
      </c>
      <c r="G256" s="1">
        <v>178600</v>
      </c>
    </row>
    <row r="257" spans="1:7" x14ac:dyDescent="0.25">
      <c r="A257" s="1" t="s">
        <v>472</v>
      </c>
      <c r="B257" s="2" t="str">
        <f>HYPERLINK("https://www.elsevier.com/locate/issn/0306-2619", "Applied Energy")</f>
        <v>Applied Energy</v>
      </c>
      <c r="C257" s="1" t="s">
        <v>10</v>
      </c>
      <c r="D257" s="1">
        <v>4430</v>
      </c>
      <c r="E257" s="1">
        <v>4140</v>
      </c>
      <c r="F257" s="1">
        <v>3550</v>
      </c>
      <c r="G257" s="1">
        <v>549450</v>
      </c>
    </row>
    <row r="258" spans="1:7" x14ac:dyDescent="0.25">
      <c r="A258" s="1" t="s">
        <v>473</v>
      </c>
      <c r="B258" s="2" t="str">
        <f>HYPERLINK("https://www.elsevier.com/locate/issn/0003-6870", "Applied Ergonomics")</f>
        <v>Applied Ergonomics</v>
      </c>
      <c r="C258" s="1" t="s">
        <v>10</v>
      </c>
      <c r="D258" s="1">
        <v>3400</v>
      </c>
      <c r="E258" s="1">
        <v>3180</v>
      </c>
      <c r="F258" s="1">
        <v>2720</v>
      </c>
      <c r="G258" s="1">
        <v>421700</v>
      </c>
    </row>
    <row r="259" spans="1:7" x14ac:dyDescent="0.25">
      <c r="A259" s="1" t="s">
        <v>474</v>
      </c>
      <c r="B259" s="2" t="str">
        <f>HYPERLINK("https://www.elsevier.com/locate/issn/2772-5022", "Applied Food Research")</f>
        <v>Applied Food Research</v>
      </c>
      <c r="C259" s="1" t="s">
        <v>23</v>
      </c>
      <c r="D259" s="1">
        <v>1910</v>
      </c>
      <c r="E259" s="1">
        <v>1790</v>
      </c>
      <c r="F259" s="1">
        <v>1530</v>
      </c>
      <c r="G259" s="1">
        <v>236900</v>
      </c>
    </row>
    <row r="260" spans="1:7" x14ac:dyDescent="0.25">
      <c r="A260" s="1" t="s">
        <v>475</v>
      </c>
      <c r="B260" s="2" t="str">
        <f>HYPERLINK("https://www.elsevier.com/locate/issn/0883-2927", "Applied Geochemistry")</f>
        <v>Applied Geochemistry</v>
      </c>
      <c r="C260" s="1" t="s">
        <v>10</v>
      </c>
      <c r="D260" s="1">
        <v>3490</v>
      </c>
      <c r="E260" s="1">
        <v>3260</v>
      </c>
      <c r="F260" s="1">
        <v>2790</v>
      </c>
      <c r="G260" s="1">
        <v>432860</v>
      </c>
    </row>
    <row r="261" spans="1:7" x14ac:dyDescent="0.25">
      <c r="A261" s="1" t="s">
        <v>476</v>
      </c>
      <c r="B261" s="2" t="str">
        <f>HYPERLINK("https://www.elsevier.com/locate/issn/0143-6228", "Applied Geography")</f>
        <v>Applied Geography</v>
      </c>
      <c r="C261" s="1" t="s">
        <v>10</v>
      </c>
      <c r="D261" s="1">
        <v>3220</v>
      </c>
      <c r="E261" s="1">
        <v>3010</v>
      </c>
      <c r="F261" s="1">
        <v>2580</v>
      </c>
      <c r="G261" s="1">
        <v>399380</v>
      </c>
    </row>
    <row r="262" spans="1:7" x14ac:dyDescent="0.25">
      <c r="A262" s="1" t="s">
        <v>477</v>
      </c>
      <c r="B262" s="2" t="str">
        <f>HYPERLINK("https://www.elsevier.com/locate/issn/2352-9407", "Applied Materials Today")</f>
        <v>Applied Materials Today</v>
      </c>
      <c r="C262" s="1" t="s">
        <v>10</v>
      </c>
      <c r="D262" s="1">
        <v>4400</v>
      </c>
      <c r="E262" s="1">
        <v>4120</v>
      </c>
      <c r="F262" s="1">
        <v>3520</v>
      </c>
      <c r="G262" s="1">
        <v>545730</v>
      </c>
    </row>
    <row r="263" spans="1:7" x14ac:dyDescent="0.25">
      <c r="A263" s="1" t="s">
        <v>478</v>
      </c>
      <c r="B263" s="2" t="str">
        <f>HYPERLINK("https://www.elsevier.com/locate/issn/0307-904X", "Applied Mathematical Modelling")</f>
        <v>Applied Mathematical Modelling</v>
      </c>
      <c r="C263" s="1" t="s">
        <v>10</v>
      </c>
      <c r="D263" s="1">
        <v>4510</v>
      </c>
      <c r="E263" s="1">
        <v>4220</v>
      </c>
      <c r="F263" s="1">
        <v>3610</v>
      </c>
      <c r="G263" s="1">
        <v>559380</v>
      </c>
    </row>
    <row r="264" spans="1:7" x14ac:dyDescent="0.25">
      <c r="A264" s="1" t="s">
        <v>479</v>
      </c>
      <c r="B264" s="2" t="str">
        <f>HYPERLINK("https://www.elsevier.com/locate/issn/0096-3003", "Applied Mathematics and Computation")</f>
        <v>Applied Mathematics and Computation</v>
      </c>
      <c r="C264" s="1" t="s">
        <v>10</v>
      </c>
      <c r="D264" s="1">
        <v>3470</v>
      </c>
      <c r="E264" s="1">
        <v>3250</v>
      </c>
      <c r="F264" s="1">
        <v>2780</v>
      </c>
      <c r="G264" s="1">
        <v>430380</v>
      </c>
    </row>
    <row r="265" spans="1:7" x14ac:dyDescent="0.25">
      <c r="A265" s="1" t="s">
        <v>480</v>
      </c>
      <c r="B265" s="2" t="str">
        <f>HYPERLINK("https://www.elsevier.com/locate/issn/0893-9659", "Applied Mathematics Letters")</f>
        <v>Applied Mathematics Letters</v>
      </c>
      <c r="C265" s="1" t="s">
        <v>10</v>
      </c>
      <c r="D265" s="1">
        <v>3800</v>
      </c>
      <c r="E265" s="1">
        <v>3550</v>
      </c>
      <c r="F265" s="1">
        <v>3040</v>
      </c>
      <c r="G265" s="1">
        <v>471310</v>
      </c>
    </row>
    <row r="266" spans="1:7" x14ac:dyDescent="0.25">
      <c r="A266" s="1" t="s">
        <v>481</v>
      </c>
      <c r="B266" s="2" t="str">
        <f>HYPERLINK("https://www.elsevier.com/locate/issn/0168-9274", "Applied Numerical Mathematics")</f>
        <v>Applied Numerical Mathematics</v>
      </c>
      <c r="C266" s="1" t="s">
        <v>10</v>
      </c>
      <c r="D266" s="1">
        <v>2000</v>
      </c>
      <c r="E266" s="1">
        <v>1870</v>
      </c>
      <c r="F266" s="1">
        <v>1600</v>
      </c>
      <c r="G266" s="1">
        <v>248060</v>
      </c>
    </row>
    <row r="267" spans="1:7" x14ac:dyDescent="0.25">
      <c r="A267" s="1" t="s">
        <v>482</v>
      </c>
      <c r="B267" s="2" t="str">
        <f>HYPERLINK("https://www.elsevier.com/locate/issn/0897-1897", "Applied Nursing Research")</f>
        <v>Applied Nursing Research</v>
      </c>
      <c r="C267" s="1" t="s">
        <v>10</v>
      </c>
      <c r="D267" s="1">
        <v>3690</v>
      </c>
      <c r="E267" s="1">
        <v>3450</v>
      </c>
      <c r="F267" s="1">
        <v>2950</v>
      </c>
      <c r="G267" s="1">
        <v>457670</v>
      </c>
    </row>
    <row r="268" spans="1:7" x14ac:dyDescent="0.25">
      <c r="A268" s="1" t="s">
        <v>483</v>
      </c>
      <c r="B268" s="2" t="str">
        <f>HYPERLINK("https://www.elsevier.com/locate/issn/0141-1187", "Applied Ocean Research")</f>
        <v>Applied Ocean Research</v>
      </c>
      <c r="C268" s="1" t="s">
        <v>23</v>
      </c>
      <c r="D268" s="1">
        <v>2750</v>
      </c>
      <c r="E268" s="1">
        <v>2570</v>
      </c>
      <c r="F268" s="1">
        <v>2200</v>
      </c>
      <c r="G268" s="1">
        <v>341080</v>
      </c>
    </row>
    <row r="269" spans="1:7" x14ac:dyDescent="0.25">
      <c r="A269" s="1" t="s">
        <v>484</v>
      </c>
      <c r="B269" s="2" t="str">
        <f>HYPERLINK("https://www.elsevier.com/locate/issn/0969-8043", "Applied Radiation and Isotopes")</f>
        <v>Applied Radiation and Isotopes</v>
      </c>
      <c r="C269" s="1" t="s">
        <v>10</v>
      </c>
      <c r="D269" s="1">
        <v>3220</v>
      </c>
      <c r="E269" s="1">
        <v>3010</v>
      </c>
      <c r="F269" s="1">
        <v>2580</v>
      </c>
      <c r="G269" s="1">
        <v>399380</v>
      </c>
    </row>
    <row r="270" spans="1:7" x14ac:dyDescent="0.25">
      <c r="A270" s="1" t="s">
        <v>485</v>
      </c>
      <c r="B270" s="2" t="str">
        <f>HYPERLINK("https://www.elsevier.com/locate/issn/1568-4946", "Applied Soft Computing")</f>
        <v>Applied Soft Computing</v>
      </c>
      <c r="C270" s="1" t="s">
        <v>10</v>
      </c>
      <c r="D270" s="1">
        <v>3730</v>
      </c>
      <c r="E270" s="1">
        <v>3490</v>
      </c>
      <c r="F270" s="1">
        <v>2990</v>
      </c>
      <c r="G270" s="1">
        <v>462630</v>
      </c>
    </row>
    <row r="271" spans="1:7" x14ac:dyDescent="0.25">
      <c r="A271" s="1" t="s">
        <v>486</v>
      </c>
      <c r="B271" s="2" t="str">
        <f>HYPERLINK("https://www.elsevier.com/locate/issn/0929-1393", "Applied Soil Ecology")</f>
        <v>Applied Soil Ecology</v>
      </c>
      <c r="C271" s="1" t="s">
        <v>10</v>
      </c>
      <c r="D271" s="1">
        <v>4320</v>
      </c>
      <c r="E271" s="1">
        <v>4040</v>
      </c>
      <c r="F271" s="1">
        <v>3460</v>
      </c>
      <c r="G271" s="1">
        <v>535810</v>
      </c>
    </row>
    <row r="272" spans="1:7" x14ac:dyDescent="0.25">
      <c r="A272" s="1" t="s">
        <v>487</v>
      </c>
      <c r="B272" s="2" t="str">
        <f>HYPERLINK("https://www.elsevier.com/locate/issn/0169-4332", "Applied Surface Science")</f>
        <v>Applied Surface Science</v>
      </c>
      <c r="C272" s="1" t="s">
        <v>10</v>
      </c>
      <c r="D272" s="1">
        <v>3930</v>
      </c>
      <c r="E272" s="1">
        <v>3680</v>
      </c>
      <c r="F272" s="1">
        <v>3150</v>
      </c>
      <c r="G272" s="1">
        <v>487440</v>
      </c>
    </row>
    <row r="273" spans="1:7" x14ac:dyDescent="0.25">
      <c r="A273" s="1" t="s">
        <v>488</v>
      </c>
      <c r="B273" s="2" t="str">
        <f>HYPERLINK("https://www.elsevier.com/locate/issn/2666-5239", "Applied Surface Science Advances")</f>
        <v>Applied Surface Science Advances</v>
      </c>
      <c r="C273" s="1" t="s">
        <v>23</v>
      </c>
      <c r="D273" s="1">
        <v>2350</v>
      </c>
      <c r="E273" s="1">
        <v>2200</v>
      </c>
      <c r="F273" s="1">
        <v>1880</v>
      </c>
      <c r="G273" s="1">
        <v>291470</v>
      </c>
    </row>
    <row r="274" spans="1:7" x14ac:dyDescent="0.25">
      <c r="A274" s="1" t="s">
        <v>489</v>
      </c>
      <c r="B274" s="2" t="str">
        <f>HYPERLINK("https://www.elsevier.com/locate/issn/1359-4311", "Applied Thermal Engineering")</f>
        <v>Applied Thermal Engineering</v>
      </c>
      <c r="C274" s="1" t="s">
        <v>10</v>
      </c>
      <c r="D274" s="1">
        <v>3660</v>
      </c>
      <c r="E274" s="1">
        <v>3420</v>
      </c>
      <c r="F274" s="1">
        <v>2930</v>
      </c>
      <c r="G274" s="1">
        <v>453950</v>
      </c>
    </row>
    <row r="275" spans="1:7" x14ac:dyDescent="0.25">
      <c r="A275" s="1" t="s">
        <v>490</v>
      </c>
      <c r="B275" s="2" t="str">
        <f>HYPERLINK("https://www.elsevier.com/locate/issn/2666-5069", "Apunts Sports Medicine")</f>
        <v>Apunts Sports Medicine</v>
      </c>
      <c r="C275" s="1" t="s">
        <v>23</v>
      </c>
      <c r="D275" s="1">
        <v>2190</v>
      </c>
      <c r="E275" s="1">
        <v>2050</v>
      </c>
      <c r="F275" s="1">
        <v>1760</v>
      </c>
      <c r="G275" s="1">
        <v>271630</v>
      </c>
    </row>
    <row r="276" spans="1:7" x14ac:dyDescent="0.25">
      <c r="A276" s="1" t="s">
        <v>491</v>
      </c>
      <c r="B276" s="2" t="str">
        <f>HYPERLINK("https://www.elsevier.com/locate/issn/0144-8609", "Aquacultural Engineering")</f>
        <v>Aquacultural Engineering</v>
      </c>
      <c r="C276" s="1" t="s">
        <v>10</v>
      </c>
      <c r="D276" s="1">
        <v>3500</v>
      </c>
      <c r="E276" s="1">
        <v>3270</v>
      </c>
      <c r="F276" s="1">
        <v>2800</v>
      </c>
      <c r="G276" s="1">
        <v>434110</v>
      </c>
    </row>
    <row r="277" spans="1:7" x14ac:dyDescent="0.25">
      <c r="A277" s="1" t="s">
        <v>492</v>
      </c>
      <c r="B277" s="2" t="str">
        <f>HYPERLINK("https://www.elsevier.com/locate/issn/0044-8486", "Aquaculture")</f>
        <v>Aquaculture</v>
      </c>
      <c r="C277" s="1" t="s">
        <v>10</v>
      </c>
      <c r="D277" s="1">
        <v>3910</v>
      </c>
      <c r="E277" s="1">
        <v>3660</v>
      </c>
      <c r="F277" s="1">
        <v>3130</v>
      </c>
      <c r="G277" s="1">
        <v>484960</v>
      </c>
    </row>
    <row r="278" spans="1:7" x14ac:dyDescent="0.25">
      <c r="A278" s="1" t="s">
        <v>493</v>
      </c>
      <c r="B278" s="2" t="str">
        <f>HYPERLINK("https://www.elsevier.com/locate/issn/2468-550X", "Aquaculture and Fisheries")</f>
        <v>Aquaculture and Fisheries</v>
      </c>
      <c r="C278" s="1" t="s">
        <v>34</v>
      </c>
      <c r="D278" s="1" t="s">
        <v>324</v>
      </c>
      <c r="E278" s="1" t="s">
        <v>324</v>
      </c>
      <c r="F278" s="1" t="s">
        <v>324</v>
      </c>
      <c r="G278" s="1" t="s">
        <v>324</v>
      </c>
    </row>
    <row r="279" spans="1:7" x14ac:dyDescent="0.25">
      <c r="A279" s="1" t="s">
        <v>494</v>
      </c>
      <c r="B279" s="2" t="str">
        <f>HYPERLINK("https://www.elsevier.com/locate/issn/2352-5134", "Aquaculture Reports")</f>
        <v>Aquaculture Reports</v>
      </c>
      <c r="C279" s="1" t="s">
        <v>23</v>
      </c>
      <c r="D279" s="1">
        <v>2460</v>
      </c>
      <c r="E279" s="1">
        <v>2300</v>
      </c>
      <c r="F279" s="1">
        <v>1970</v>
      </c>
      <c r="G279" s="1">
        <v>305110</v>
      </c>
    </row>
    <row r="280" spans="1:7" x14ac:dyDescent="0.25">
      <c r="A280" s="1" t="s">
        <v>495</v>
      </c>
      <c r="B280" s="2" t="str">
        <f>HYPERLINK("https://www.elsevier.com/locate/issn/0304-3770", "Aquatic Botany")</f>
        <v>Aquatic Botany</v>
      </c>
      <c r="C280" s="1" t="s">
        <v>10</v>
      </c>
      <c r="D280" s="1">
        <v>3180</v>
      </c>
      <c r="E280" s="1">
        <v>2970</v>
      </c>
      <c r="F280" s="1">
        <v>2550</v>
      </c>
      <c r="G280" s="1">
        <v>394420</v>
      </c>
    </row>
    <row r="281" spans="1:7" x14ac:dyDescent="0.25">
      <c r="A281" s="1" t="s">
        <v>496</v>
      </c>
      <c r="B281" s="2" t="str">
        <f>HYPERLINK("https://www.elsevier.com/locate/issn/0166-445X", "Aquatic Toxicology")</f>
        <v>Aquatic Toxicology</v>
      </c>
      <c r="C281" s="1" t="s">
        <v>10</v>
      </c>
      <c r="D281" s="1">
        <v>3320</v>
      </c>
      <c r="E281" s="1">
        <v>3110</v>
      </c>
      <c r="F281" s="1">
        <v>2660</v>
      </c>
      <c r="G281" s="1">
        <v>411780</v>
      </c>
    </row>
    <row r="282" spans="1:7" x14ac:dyDescent="0.25">
      <c r="A282" s="1" t="s">
        <v>497</v>
      </c>
      <c r="B282" s="2" t="str">
        <f>HYPERLINK("https://www.elsevier.com/locate/issn/1687-1979", "Arab Journal of Gastroenterology")</f>
        <v>Arab Journal of Gastroenterology</v>
      </c>
      <c r="C282" s="1" t="s">
        <v>10</v>
      </c>
      <c r="D282" s="1">
        <v>2850</v>
      </c>
      <c r="E282" s="1">
        <v>2670</v>
      </c>
      <c r="F282" s="1">
        <v>2280</v>
      </c>
      <c r="G282" s="1">
        <v>353490</v>
      </c>
    </row>
    <row r="283" spans="1:7" x14ac:dyDescent="0.25">
      <c r="A283" s="1" t="s">
        <v>498</v>
      </c>
      <c r="B283" s="2" t="str">
        <f>HYPERLINK("https://www.elsevier.com/locate/issn/1878-5352", "Arabian Journal of Chemistry")</f>
        <v>Arabian Journal of Chemistry</v>
      </c>
      <c r="C283" s="1" t="s">
        <v>23</v>
      </c>
      <c r="D283" s="1">
        <v>1490</v>
      </c>
      <c r="E283" s="1">
        <v>1390</v>
      </c>
      <c r="F283" s="1">
        <v>1190</v>
      </c>
      <c r="G283" s="1">
        <v>184800</v>
      </c>
    </row>
    <row r="284" spans="1:7" x14ac:dyDescent="0.25">
      <c r="A284" s="1" t="s">
        <v>499</v>
      </c>
      <c r="B284" s="2" t="str">
        <f>HYPERLINK("https://www.elsevier.com/locate/issn/2352-2267", "Archaeological Research in Asia")</f>
        <v>Archaeological Research in Asia</v>
      </c>
      <c r="C284" s="1" t="s">
        <v>10</v>
      </c>
      <c r="D284" s="1">
        <v>2750</v>
      </c>
      <c r="E284" s="1">
        <v>2570</v>
      </c>
      <c r="F284" s="1">
        <v>2200</v>
      </c>
      <c r="G284" s="1">
        <v>341080</v>
      </c>
    </row>
    <row r="285" spans="1:7" x14ac:dyDescent="0.25">
      <c r="A285" s="1" t="s">
        <v>500</v>
      </c>
      <c r="B285" s="2" t="str">
        <f>HYPERLINK("https://www.elsevier.com/locate/issn/0929-693X", "Archives de Pédiatrie")</f>
        <v>Archives de Pédiatrie</v>
      </c>
      <c r="C285" s="1" t="s">
        <v>10</v>
      </c>
      <c r="D285" s="1">
        <v>2610</v>
      </c>
      <c r="E285" s="1">
        <v>2380</v>
      </c>
      <c r="F285" s="1">
        <v>2090</v>
      </c>
      <c r="G285" s="1">
        <v>323720</v>
      </c>
    </row>
    <row r="286" spans="1:7" x14ac:dyDescent="0.25">
      <c r="A286" s="1" t="s">
        <v>501</v>
      </c>
      <c r="B286" s="2" t="str">
        <f>HYPERLINK("https://www.elsevier.com/locate/issn/1261-694X", "Archives des Maladies du Cœur et des Vaisseaux - Pratique")</f>
        <v>Archives des Maladies du Cœur et des Vaisseaux - Pratique</v>
      </c>
      <c r="C286" s="1" t="s">
        <v>10</v>
      </c>
      <c r="D286" s="1">
        <v>1900</v>
      </c>
      <c r="E286" s="1">
        <v>1730</v>
      </c>
      <c r="F286" s="1">
        <v>1520</v>
      </c>
      <c r="G286" s="1">
        <v>235660</v>
      </c>
    </row>
    <row r="287" spans="1:7" x14ac:dyDescent="0.25">
      <c r="A287" s="1" t="s">
        <v>502</v>
      </c>
      <c r="B287" s="2" t="str">
        <f>HYPERLINK("https://www.elsevier.com/locate/issn/1775-8785", "Archives des Maladies Professionnelles et de l’Environnement")</f>
        <v>Archives des Maladies Professionnelles et de l’Environnement</v>
      </c>
      <c r="C287" s="1" t="s">
        <v>10</v>
      </c>
      <c r="D287" s="1">
        <v>2690</v>
      </c>
      <c r="E287" s="1">
        <v>2450</v>
      </c>
      <c r="F287" s="1">
        <v>2150</v>
      </c>
      <c r="G287" s="1">
        <v>333640</v>
      </c>
    </row>
    <row r="288" spans="1:7" x14ac:dyDescent="0.25">
      <c r="A288" s="1" t="s">
        <v>503</v>
      </c>
      <c r="B288" s="2" t="str">
        <f>HYPERLINK("https://www.elsevier.com/locate/issn/0003-9861", "Archives of Biochemistry and Biophysics")</f>
        <v>Archives of Biochemistry and Biophysics</v>
      </c>
      <c r="C288" s="1" t="s">
        <v>10</v>
      </c>
      <c r="D288" s="1">
        <v>3170</v>
      </c>
      <c r="E288" s="1">
        <v>2970</v>
      </c>
      <c r="F288" s="1">
        <v>2540</v>
      </c>
      <c r="G288" s="1">
        <v>393180</v>
      </c>
    </row>
    <row r="289" spans="1:7" x14ac:dyDescent="0.25">
      <c r="A289" s="1" t="s">
        <v>504</v>
      </c>
      <c r="B289" s="2" t="str">
        <f>HYPERLINK("https://www.elsevier.com/locate/issn/1875-2136", "Archives of Cardiovascular Diseases")</f>
        <v>Archives of Cardiovascular Diseases</v>
      </c>
      <c r="C289" s="1" t="s">
        <v>10</v>
      </c>
      <c r="D289" s="1">
        <v>3470</v>
      </c>
      <c r="E289" s="1">
        <v>3160</v>
      </c>
      <c r="F289" s="1">
        <v>2780</v>
      </c>
      <c r="G289" s="1">
        <v>430380</v>
      </c>
    </row>
    <row r="290" spans="1:7" x14ac:dyDescent="0.25">
      <c r="A290" s="1" t="s">
        <v>505</v>
      </c>
      <c r="B290" s="2" t="str">
        <f>HYPERLINK("https://www.elsevier.com/locate/issn/0167-4943", "Archives of Gerontology and Geriatrics")</f>
        <v>Archives of Gerontology and Geriatrics</v>
      </c>
      <c r="C290" s="1" t="s">
        <v>10</v>
      </c>
      <c r="D290" s="1">
        <v>3750</v>
      </c>
      <c r="E290" s="1">
        <v>3510</v>
      </c>
      <c r="F290" s="1">
        <v>3000</v>
      </c>
      <c r="G290" s="1">
        <v>465110</v>
      </c>
    </row>
    <row r="291" spans="1:7" x14ac:dyDescent="0.25">
      <c r="A291" s="1" t="s">
        <v>506</v>
      </c>
      <c r="B291" s="2" t="str">
        <f>HYPERLINK("https://www.elsevier.com/locate/issn/2950-3078", "Archives of Gerontology and Geriatrics Plus")</f>
        <v>Archives of Gerontology and Geriatrics Plus</v>
      </c>
      <c r="C291" s="1" t="s">
        <v>23</v>
      </c>
      <c r="D291" s="1">
        <v>2150</v>
      </c>
      <c r="E291" s="1">
        <v>2010</v>
      </c>
      <c r="F291" s="1">
        <v>1720</v>
      </c>
      <c r="G291" s="1">
        <v>266660</v>
      </c>
    </row>
    <row r="292" spans="1:7" x14ac:dyDescent="0.25">
      <c r="A292" s="1" t="s">
        <v>507</v>
      </c>
      <c r="B292" s="2" t="str">
        <f>HYPERLINK("https://www.elsevier.com/locate/issn/2950-3949", "Archives of Legal Medicine")</f>
        <v>Archives of Legal Medicine</v>
      </c>
      <c r="C292" s="1" t="s">
        <v>10</v>
      </c>
      <c r="D292" s="1">
        <v>2590</v>
      </c>
      <c r="E292" s="1">
        <v>2360</v>
      </c>
      <c r="F292" s="1">
        <v>2070</v>
      </c>
      <c r="G292" s="1">
        <v>321240</v>
      </c>
    </row>
    <row r="293" spans="1:7" x14ac:dyDescent="0.25">
      <c r="A293" s="1" t="s">
        <v>508</v>
      </c>
      <c r="B293" s="2" t="str">
        <f>HYPERLINK("https://www.elsevier.com/locate/issn/0188-4409", "Archives of Medical Research")</f>
        <v>Archives of Medical Research</v>
      </c>
      <c r="C293" s="1" t="s">
        <v>10</v>
      </c>
      <c r="D293" s="1">
        <v>3360</v>
      </c>
      <c r="E293" s="1">
        <v>3140</v>
      </c>
      <c r="F293" s="1">
        <v>2690</v>
      </c>
      <c r="G293" s="1">
        <v>416740</v>
      </c>
    </row>
    <row r="294" spans="1:7" x14ac:dyDescent="0.25">
      <c r="A294" s="1" t="s">
        <v>509</v>
      </c>
      <c r="B294" s="2" t="str">
        <f>HYPERLINK("https://www.elsevier.com/locate/issn/0003-9969", "Archives of Oral Biology")</f>
        <v>Archives of Oral Biology</v>
      </c>
      <c r="C294" s="1" t="s">
        <v>10</v>
      </c>
      <c r="D294" s="1">
        <v>3760</v>
      </c>
      <c r="E294" s="1">
        <v>3520</v>
      </c>
      <c r="F294" s="1">
        <v>3010</v>
      </c>
      <c r="G294" s="1">
        <v>466350</v>
      </c>
    </row>
    <row r="295" spans="1:7" x14ac:dyDescent="0.25">
      <c r="A295" s="1" t="s">
        <v>510</v>
      </c>
      <c r="B295" s="2" t="str">
        <f>HYPERLINK("https://www.elsevier.com/locate/issn/0003-9993", "Archives of Physical Medicine and Rehabilitation")</f>
        <v>Archives of Physical Medicine and Rehabilitation</v>
      </c>
      <c r="C295" s="1" t="s">
        <v>10</v>
      </c>
      <c r="D295" s="1">
        <v>4000</v>
      </c>
      <c r="E295" s="1">
        <v>3740</v>
      </c>
      <c r="F295" s="1">
        <v>3200</v>
      </c>
      <c r="G295" s="1">
        <v>496120</v>
      </c>
    </row>
    <row r="296" spans="1:7" x14ac:dyDescent="0.25">
      <c r="A296" s="1" t="s">
        <v>511</v>
      </c>
      <c r="B296" s="2" t="str">
        <f>HYPERLINK("https://www.elsevier.com/locate/issn/0883-9417", "Archives of Psychiatric Nursing")</f>
        <v>Archives of Psychiatric Nursing</v>
      </c>
      <c r="C296" s="1" t="s">
        <v>10</v>
      </c>
      <c r="D296" s="1">
        <v>3600</v>
      </c>
      <c r="E296" s="1">
        <v>3370</v>
      </c>
      <c r="F296" s="1">
        <v>2880</v>
      </c>
      <c r="G296" s="1">
        <v>446510</v>
      </c>
    </row>
    <row r="297" spans="1:7" x14ac:dyDescent="0.25">
      <c r="A297" s="1" t="s">
        <v>512</v>
      </c>
      <c r="B297" s="2" t="str">
        <f>HYPERLINK("https://www.elsevier.com/locate/issn/2590-1095", "Archives of Rehabilitation Research and Clinical Translation")</f>
        <v>Archives of Rehabilitation Research and Clinical Translation</v>
      </c>
      <c r="C297" s="1" t="s">
        <v>23</v>
      </c>
      <c r="D297" s="1">
        <v>2500</v>
      </c>
      <c r="E297" s="1">
        <v>2340</v>
      </c>
      <c r="F297" s="1">
        <v>2000</v>
      </c>
      <c r="G297" s="1">
        <v>310080</v>
      </c>
    </row>
    <row r="298" spans="1:7" x14ac:dyDescent="0.25">
      <c r="A298" s="1" t="s">
        <v>513</v>
      </c>
      <c r="B298" s="2" t="str">
        <f>HYPERLINK("https://www.elsevier.com/locate/issn/0300-2896", "Archivos de Bronconeumología")</f>
        <v>Archivos de Bronconeumología</v>
      </c>
      <c r="C298" s="1" t="s">
        <v>10</v>
      </c>
      <c r="D298" s="1">
        <v>3290</v>
      </c>
      <c r="E298" s="1">
        <v>3080</v>
      </c>
      <c r="F298" s="1">
        <v>2630</v>
      </c>
      <c r="G298" s="1">
        <v>408060</v>
      </c>
    </row>
    <row r="299" spans="1:7" x14ac:dyDescent="0.25">
      <c r="A299" s="1" t="s">
        <v>514</v>
      </c>
      <c r="B299" s="2" t="str">
        <f>HYPERLINK("https://www.elsevier.com/locate/issn/0365-6691", "Archivos de la Sociedad Española de Oftalmología")</f>
        <v>Archivos de la Sociedad Española de Oftalmología</v>
      </c>
      <c r="C299" s="1" t="s">
        <v>10</v>
      </c>
      <c r="D299" s="1">
        <v>2590</v>
      </c>
      <c r="E299" s="1">
        <v>2420</v>
      </c>
      <c r="F299" s="1">
        <v>2070</v>
      </c>
      <c r="G299" s="1">
        <v>321240</v>
      </c>
    </row>
    <row r="300" spans="1:7" x14ac:dyDescent="0.25">
      <c r="A300" s="1" t="s">
        <v>515</v>
      </c>
      <c r="B300" s="2" t="str">
        <f>HYPERLINK("https://www.elsevier.com/locate/issn/2173-5794", "Archivos de la Sociedad Española de Oftalmología (English Edition)")</f>
        <v>Archivos de la Sociedad Española de Oftalmología (English Edition)</v>
      </c>
      <c r="C300" s="1" t="s">
        <v>10</v>
      </c>
      <c r="D300" s="1">
        <v>2590</v>
      </c>
      <c r="E300" s="1">
        <v>2420</v>
      </c>
      <c r="F300" s="1">
        <v>2070</v>
      </c>
      <c r="G300" s="1">
        <v>321240</v>
      </c>
    </row>
    <row r="301" spans="1:7" x14ac:dyDescent="0.25">
      <c r="A301" s="1" t="s">
        <v>516</v>
      </c>
      <c r="B301" s="2" t="str">
        <f>HYPERLINK("https://www.elsevier.com/locate/issn/2590-0056", "Array")</f>
        <v>Array</v>
      </c>
      <c r="C301" s="1" t="s">
        <v>23</v>
      </c>
      <c r="D301" s="1">
        <v>1680</v>
      </c>
      <c r="E301" s="1">
        <v>1570</v>
      </c>
      <c r="F301" s="1">
        <v>1340</v>
      </c>
      <c r="G301" s="1">
        <v>208370</v>
      </c>
    </row>
    <row r="302" spans="1:7" x14ac:dyDescent="0.25">
      <c r="A302" s="1" t="s">
        <v>517</v>
      </c>
      <c r="B302" s="2" t="str">
        <f>HYPERLINK("https://www.elsevier.com/locate/issn/2352-3441", "Arthroplasty Today")</f>
        <v>Arthroplasty Today</v>
      </c>
      <c r="C302" s="1" t="s">
        <v>23</v>
      </c>
      <c r="D302" s="1">
        <v>2500</v>
      </c>
      <c r="E302" s="1">
        <v>2340</v>
      </c>
      <c r="F302" s="1">
        <v>2000</v>
      </c>
      <c r="G302" s="1">
        <v>310080</v>
      </c>
    </row>
    <row r="303" spans="1:7" x14ac:dyDescent="0.25">
      <c r="A303" s="1" t="s">
        <v>518</v>
      </c>
      <c r="B303" s="2" t="str">
        <f>HYPERLINK("https://www.elsevier.com/locate/issn/1467-8039", "Arthropod Structure &amp; Development")</f>
        <v>Arthropod Structure &amp; Development</v>
      </c>
      <c r="C303" s="1" t="s">
        <v>10</v>
      </c>
      <c r="D303" s="1">
        <v>3290</v>
      </c>
      <c r="E303" s="1">
        <v>3080</v>
      </c>
      <c r="F303" s="1">
        <v>2630</v>
      </c>
      <c r="G303" s="1">
        <v>408060</v>
      </c>
    </row>
    <row r="304" spans="1:7" x14ac:dyDescent="0.25">
      <c r="A304" s="1" t="s">
        <v>519</v>
      </c>
      <c r="B304" s="2" t="str">
        <f>HYPERLINK("https://www.elsevier.com/locate/issn/0749-8063", "Arthroscopy: the Journal of Arthroscopic &amp; Related Surgery")</f>
        <v>Arthroscopy: the Journal of Arthroscopic &amp; Related Surgery</v>
      </c>
      <c r="C304" s="1" t="s">
        <v>10</v>
      </c>
      <c r="D304" s="1">
        <v>3500</v>
      </c>
      <c r="E304" s="1">
        <v>3270</v>
      </c>
      <c r="F304" s="1">
        <v>2800</v>
      </c>
      <c r="G304" s="1">
        <v>434110</v>
      </c>
    </row>
    <row r="305" spans="1:7" x14ac:dyDescent="0.25">
      <c r="A305" s="1" t="s">
        <v>520</v>
      </c>
      <c r="B305" s="2" t="str">
        <f>HYPERLINK("https://www.elsevier.com/locate/issn/2212-6287", "Arthroscopy Techniques")</f>
        <v>Arthroscopy Techniques</v>
      </c>
      <c r="C305" s="1" t="s">
        <v>23</v>
      </c>
      <c r="D305" s="1">
        <v>975</v>
      </c>
      <c r="E305" s="1">
        <v>910</v>
      </c>
      <c r="F305" s="1">
        <v>780</v>
      </c>
      <c r="G305" s="1">
        <v>120930</v>
      </c>
    </row>
    <row r="306" spans="1:7" x14ac:dyDescent="0.25">
      <c r="A306" s="1" t="s">
        <v>521</v>
      </c>
      <c r="B306" s="2" t="str">
        <f>HYPERLINK("https://www.elsevier.com/locate/issn/0004-3702", "Artificial Intelligence")</f>
        <v>Artificial Intelligence</v>
      </c>
      <c r="C306" s="1" t="s">
        <v>10</v>
      </c>
      <c r="D306" s="1">
        <v>4260</v>
      </c>
      <c r="E306" s="1">
        <v>3990</v>
      </c>
      <c r="F306" s="1">
        <v>3410</v>
      </c>
      <c r="G306" s="1">
        <v>528370</v>
      </c>
    </row>
    <row r="307" spans="1:7" x14ac:dyDescent="0.25">
      <c r="A307" s="1" t="s">
        <v>522</v>
      </c>
      <c r="B307" s="2" t="str">
        <f>HYPERLINK("https://www.elsevier.com/locate/issn/2949-7477", "Artificial Intelligence Chemistry")</f>
        <v>Artificial Intelligence Chemistry</v>
      </c>
      <c r="C307" s="1" t="s">
        <v>23</v>
      </c>
      <c r="D307" s="1">
        <v>1440</v>
      </c>
      <c r="E307" s="1">
        <v>1350</v>
      </c>
      <c r="F307" s="1">
        <v>1150</v>
      </c>
      <c r="G307" s="1">
        <v>178600</v>
      </c>
    </row>
    <row r="308" spans="1:7" x14ac:dyDescent="0.25">
      <c r="A308" s="1" t="s">
        <v>523</v>
      </c>
      <c r="B308" s="2" t="str">
        <f>HYPERLINK("https://www.elsevier.com/locate/issn/3050-8606", "Artificial Intelligence for Transportation")</f>
        <v>Artificial Intelligence for Transportation</v>
      </c>
      <c r="C308" s="1" t="s">
        <v>10</v>
      </c>
      <c r="D308" s="1">
        <v>3000</v>
      </c>
      <c r="E308" s="1">
        <v>2810</v>
      </c>
      <c r="F308" s="1">
        <v>2400</v>
      </c>
      <c r="G308" s="1">
        <v>372090</v>
      </c>
    </row>
    <row r="309" spans="1:7" x14ac:dyDescent="0.25">
      <c r="A309" s="1" t="s">
        <v>524</v>
      </c>
      <c r="B309" s="2" t="str">
        <f>HYPERLINK("https://www.elsevier.com/locate/issn/2589-7217", "Artificial Intelligence in Agriculture")</f>
        <v>Artificial Intelligence in Agriculture</v>
      </c>
      <c r="C309" s="1" t="s">
        <v>34</v>
      </c>
      <c r="D309" s="1">
        <v>1100</v>
      </c>
      <c r="E309" s="1">
        <v>1030</v>
      </c>
      <c r="F309" s="1">
        <v>880</v>
      </c>
      <c r="G309" s="1">
        <v>136430</v>
      </c>
    </row>
    <row r="310" spans="1:7" x14ac:dyDescent="0.25">
      <c r="A310" s="1" t="s">
        <v>525</v>
      </c>
      <c r="B310" s="2" t="str">
        <f>HYPERLINK("https://www.elsevier.com/locate/issn/2666-5441", "Artificial Intelligence in Geosciences")</f>
        <v>Artificial Intelligence in Geosciences</v>
      </c>
      <c r="C310" s="1" t="s">
        <v>34</v>
      </c>
      <c r="D310" s="1">
        <v>700</v>
      </c>
      <c r="E310" s="1">
        <v>650</v>
      </c>
      <c r="F310" s="1">
        <v>560</v>
      </c>
      <c r="G310" s="1">
        <v>86820</v>
      </c>
    </row>
    <row r="311" spans="1:7" x14ac:dyDescent="0.25">
      <c r="A311" s="1" t="s">
        <v>526</v>
      </c>
      <c r="B311" s="2" t="str">
        <f>HYPERLINK("https://www.elsevier.com/locate/issn/0933-3657", "Artificial Intelligence in Medicine")</f>
        <v>Artificial Intelligence in Medicine</v>
      </c>
      <c r="C311" s="1" t="s">
        <v>10</v>
      </c>
      <c r="D311" s="1">
        <v>3480</v>
      </c>
      <c r="E311" s="1">
        <v>3260</v>
      </c>
      <c r="F311" s="1">
        <v>2790</v>
      </c>
      <c r="G311" s="1">
        <v>431620</v>
      </c>
    </row>
    <row r="312" spans="1:7" x14ac:dyDescent="0.25">
      <c r="A312" s="1" t="s">
        <v>527</v>
      </c>
      <c r="B312" s="2" t="str">
        <f>HYPERLINK("https://www.elsevier.com/locate/issn/2667-3185", "Artificial Intelligence in the Life Sciences")</f>
        <v>Artificial Intelligence in the Life Sciences</v>
      </c>
      <c r="C312" s="1" t="s">
        <v>23</v>
      </c>
      <c r="D312" s="1">
        <v>1540</v>
      </c>
      <c r="E312" s="1">
        <v>1440</v>
      </c>
      <c r="F312" s="1">
        <v>1230</v>
      </c>
      <c r="G312" s="1">
        <v>191010</v>
      </c>
    </row>
    <row r="313" spans="1:7" x14ac:dyDescent="0.25">
      <c r="A313" s="1" t="s">
        <v>528</v>
      </c>
      <c r="B313" s="2" t="str">
        <f>HYPERLINK("https://www.elsevier.com/locate/issn/2667-1115", "Asia and the Global Economy")</f>
        <v>Asia and the Global Economy</v>
      </c>
      <c r="C313" s="1" t="s">
        <v>23</v>
      </c>
      <c r="D313" s="1">
        <v>1500</v>
      </c>
      <c r="E313" s="1">
        <v>1400</v>
      </c>
      <c r="F313" s="1">
        <v>1200</v>
      </c>
      <c r="G313" s="1">
        <v>186050</v>
      </c>
    </row>
    <row r="314" spans="1:7" x14ac:dyDescent="0.25">
      <c r="A314" s="1" t="s">
        <v>529</v>
      </c>
      <c r="B314" s="2" t="str">
        <f>HYPERLINK("https://www.elsevier.com/locate/issn/1029-3132", "Asia Pacific Management Review")</f>
        <v>Asia Pacific Management Review</v>
      </c>
      <c r="C314" s="1" t="s">
        <v>23</v>
      </c>
      <c r="D314" s="1">
        <v>2000</v>
      </c>
      <c r="E314" s="1">
        <v>1870</v>
      </c>
      <c r="F314" s="1">
        <v>1600</v>
      </c>
      <c r="G314" s="1">
        <v>248060</v>
      </c>
    </row>
    <row r="315" spans="1:7" x14ac:dyDescent="0.25">
      <c r="A315" s="1" t="s">
        <v>530</v>
      </c>
      <c r="B315" s="2" t="str">
        <f>HYPERLINK("https://www.elsevier.com/locate/issn/2162-0989", "Asia-Pacific Journal of Ophthalmology")</f>
        <v>Asia-Pacific Journal of Ophthalmology</v>
      </c>
      <c r="C315" s="1" t="s">
        <v>23</v>
      </c>
      <c r="D315" s="1">
        <v>1950</v>
      </c>
      <c r="E315" s="1">
        <v>1820</v>
      </c>
      <c r="F315" s="1">
        <v>1560</v>
      </c>
      <c r="G315" s="1">
        <v>241860</v>
      </c>
    </row>
    <row r="316" spans="1:7" x14ac:dyDescent="0.25">
      <c r="A316" s="1" t="s">
        <v>531</v>
      </c>
      <c r="B316" s="2" t="str">
        <f>HYPERLINK("https://www.elsevier.com/locate/issn/1818-0876", "Asian Journal of Pharmaceutical Sciences")</f>
        <v>Asian Journal of Pharmaceutical Sciences</v>
      </c>
      <c r="C316" s="1" t="s">
        <v>34</v>
      </c>
      <c r="D316" s="1" t="s">
        <v>324</v>
      </c>
      <c r="E316" s="1" t="s">
        <v>324</v>
      </c>
      <c r="F316" s="1" t="s">
        <v>324</v>
      </c>
      <c r="G316" s="1" t="s">
        <v>324</v>
      </c>
    </row>
    <row r="317" spans="1:7" x14ac:dyDescent="0.25">
      <c r="A317" s="1" t="s">
        <v>532</v>
      </c>
      <c r="B317" s="2" t="str">
        <f>HYPERLINK("https://www.elsevier.com/locate/issn/1876-2018", "Asian Journal of Psychiatry")</f>
        <v>Asian Journal of Psychiatry</v>
      </c>
      <c r="C317" s="1" t="s">
        <v>10</v>
      </c>
      <c r="D317" s="1">
        <v>3820</v>
      </c>
      <c r="E317" s="1">
        <v>3570</v>
      </c>
      <c r="F317" s="1">
        <v>3060</v>
      </c>
      <c r="G317" s="1">
        <v>473790</v>
      </c>
    </row>
    <row r="318" spans="1:7" x14ac:dyDescent="0.25">
      <c r="A318" s="1" t="s">
        <v>533</v>
      </c>
      <c r="B318" s="2" t="str">
        <f>HYPERLINK("https://www.elsevier.com/locate/issn/1568-4849", "Asian Journal of Social Science")</f>
        <v>Asian Journal of Social Science</v>
      </c>
      <c r="C318" s="1" t="s">
        <v>10</v>
      </c>
      <c r="D318" s="1">
        <v>2760</v>
      </c>
      <c r="E318" s="1">
        <v>2580</v>
      </c>
      <c r="F318" s="1">
        <v>2210</v>
      </c>
      <c r="G318" s="1">
        <v>342320</v>
      </c>
    </row>
    <row r="319" spans="1:7" x14ac:dyDescent="0.25">
      <c r="A319" s="1" t="s">
        <v>534</v>
      </c>
      <c r="B319" s="2" t="str">
        <f>HYPERLINK("https://www.elsevier.com/locate/issn/2667-2391", "Asian Journal of Sport and Exercise Psychology")</f>
        <v>Asian Journal of Sport and Exercise Psychology</v>
      </c>
      <c r="C319" s="1" t="s">
        <v>34</v>
      </c>
      <c r="D319" s="1" t="s">
        <v>324</v>
      </c>
      <c r="E319" s="1" t="s">
        <v>324</v>
      </c>
      <c r="F319" s="1" t="s">
        <v>324</v>
      </c>
      <c r="G319" s="1" t="s">
        <v>324</v>
      </c>
    </row>
    <row r="320" spans="1:7" x14ac:dyDescent="0.25">
      <c r="A320" s="1" t="s">
        <v>535</v>
      </c>
      <c r="B320" s="2" t="str">
        <f>HYPERLINK("https://www.elsevier.com/locate/issn/1015-9584", "Asian Journal of Surgery")</f>
        <v>Asian Journal of Surgery</v>
      </c>
      <c r="C320" s="1" t="s">
        <v>23</v>
      </c>
      <c r="D320" s="1">
        <v>1200</v>
      </c>
      <c r="E320" s="1">
        <v>1120</v>
      </c>
      <c r="F320" s="1">
        <v>960</v>
      </c>
      <c r="G320" s="1">
        <v>148840</v>
      </c>
    </row>
    <row r="321" spans="1:7" x14ac:dyDescent="0.25">
      <c r="A321" s="1" t="s">
        <v>536</v>
      </c>
      <c r="B321" s="2" t="str">
        <f>HYPERLINK("https://www.elsevier.com/locate/issn/2214-3882", "Asian Journal of Urology")</f>
        <v>Asian Journal of Urology</v>
      </c>
      <c r="C321" s="1" t="s">
        <v>34</v>
      </c>
      <c r="D321" s="1" t="s">
        <v>324</v>
      </c>
      <c r="E321" s="1" t="s">
        <v>324</v>
      </c>
      <c r="F321" s="1" t="s">
        <v>324</v>
      </c>
      <c r="G321" s="1" t="s">
        <v>324</v>
      </c>
    </row>
    <row r="322" spans="1:7" x14ac:dyDescent="0.25">
      <c r="A322" s="1" t="s">
        <v>537</v>
      </c>
      <c r="B322" s="2" t="str">
        <f>HYPERLINK("https://www.elsevier.com/locate/issn/1976-1317", "Asian Nursing Research")</f>
        <v>Asian Nursing Research</v>
      </c>
      <c r="C322" s="1" t="s">
        <v>23</v>
      </c>
      <c r="D322" s="1">
        <v>1500</v>
      </c>
      <c r="E322" s="1">
        <v>1400</v>
      </c>
      <c r="F322" s="1">
        <v>1200</v>
      </c>
      <c r="G322" s="1">
        <v>186050</v>
      </c>
    </row>
    <row r="323" spans="1:7" x14ac:dyDescent="0.25">
      <c r="A323" s="1" t="s">
        <v>538</v>
      </c>
      <c r="B323" s="2" t="str">
        <f>HYPERLINK("https://www.elsevier.com/locate/issn/2185-5560", "Asian Transport Studies")</f>
        <v>Asian Transport Studies</v>
      </c>
      <c r="C323" s="1" t="s">
        <v>23</v>
      </c>
      <c r="D323" s="1">
        <v>1200</v>
      </c>
      <c r="E323" s="1">
        <v>1120</v>
      </c>
      <c r="F323" s="1">
        <v>960</v>
      </c>
      <c r="G323" s="1">
        <v>148840</v>
      </c>
    </row>
    <row r="324" spans="1:7" x14ac:dyDescent="0.25">
      <c r="A324" s="1" t="s">
        <v>539</v>
      </c>
      <c r="B324" s="2" t="str">
        <f>HYPERLINK("https://www.elsevier.com/locate/issn/2949-6888", "Aspects of Molecular Medicine")</f>
        <v>Aspects of Molecular Medicine</v>
      </c>
      <c r="C324" s="1" t="s">
        <v>23</v>
      </c>
      <c r="D324" s="1">
        <v>2720</v>
      </c>
      <c r="E324" s="1">
        <v>2540</v>
      </c>
      <c r="F324" s="1">
        <v>2180</v>
      </c>
      <c r="G324" s="1">
        <v>337360</v>
      </c>
    </row>
    <row r="325" spans="1:7" x14ac:dyDescent="0.25">
      <c r="A325" s="1" t="s">
        <v>540</v>
      </c>
      <c r="B325" s="2" t="str">
        <f>HYPERLINK("https://www.elsevier.com/locate/issn/3050-5674", "ASPET Discovery")</f>
        <v>ASPET Discovery</v>
      </c>
      <c r="C325" s="1" t="s">
        <v>23</v>
      </c>
      <c r="D325" s="1">
        <v>3100</v>
      </c>
      <c r="E325" s="1">
        <v>2900</v>
      </c>
      <c r="F325" s="1">
        <v>2480</v>
      </c>
      <c r="G325" s="1">
        <v>384490</v>
      </c>
    </row>
    <row r="326" spans="1:7" x14ac:dyDescent="0.25">
      <c r="A326" s="1" t="s">
        <v>541</v>
      </c>
      <c r="B326" s="2" t="str">
        <f>HYPERLINK("https://www.elsevier.com/locate/issn/1075-2935", "Assessing Writing")</f>
        <v>Assessing Writing</v>
      </c>
      <c r="C326" s="1" t="s">
        <v>10</v>
      </c>
      <c r="D326" s="1">
        <v>3330</v>
      </c>
      <c r="E326" s="1">
        <v>3120</v>
      </c>
      <c r="F326" s="1">
        <v>2670</v>
      </c>
      <c r="G326" s="1">
        <v>413020</v>
      </c>
    </row>
    <row r="327" spans="1:7" x14ac:dyDescent="0.25">
      <c r="A327" s="1" t="s">
        <v>542</v>
      </c>
      <c r="B327" s="2" t="str">
        <f>HYPERLINK("https://www.elsevier.com/locate/issn/2213-1337", "Astronomy and Computing")</f>
        <v>Astronomy and Computing</v>
      </c>
      <c r="C327" s="1" t="s">
        <v>10</v>
      </c>
      <c r="D327" s="1">
        <v>2260</v>
      </c>
      <c r="E327" s="1">
        <v>2110</v>
      </c>
      <c r="F327" s="1">
        <v>1810</v>
      </c>
      <c r="G327" s="1">
        <v>280310</v>
      </c>
    </row>
    <row r="328" spans="1:7" x14ac:dyDescent="0.25">
      <c r="A328" s="1" t="s">
        <v>543</v>
      </c>
      <c r="B328" s="2" t="str">
        <f>HYPERLINK("https://www.elsevier.com/locate/issn/0927-6505", "Astroparticle Physics")</f>
        <v>Astroparticle Physics</v>
      </c>
      <c r="C328" s="1" t="s">
        <v>10</v>
      </c>
      <c r="D328" s="1">
        <v>2920</v>
      </c>
      <c r="E328" s="1">
        <v>2730</v>
      </c>
      <c r="F328" s="1">
        <v>2340</v>
      </c>
      <c r="G328" s="1">
        <v>362170</v>
      </c>
    </row>
    <row r="329" spans="1:7" x14ac:dyDescent="0.25">
      <c r="A329" s="1" t="s">
        <v>544</v>
      </c>
      <c r="B329" s="2" t="str">
        <f>HYPERLINK("https://www.elsevier.com/locate/issn/0212-6567", "Atención Primaria")</f>
        <v>Atención Primaria</v>
      </c>
      <c r="C329" s="1" t="s">
        <v>23</v>
      </c>
      <c r="D329" s="1">
        <v>1560</v>
      </c>
      <c r="E329" s="1">
        <v>1460</v>
      </c>
      <c r="F329" s="1">
        <v>1250</v>
      </c>
      <c r="G329" s="1">
        <v>193490</v>
      </c>
    </row>
    <row r="330" spans="1:7" x14ac:dyDescent="0.25">
      <c r="A330" s="1" t="s">
        <v>545</v>
      </c>
      <c r="B330" s="2" t="str">
        <f>HYPERLINK("https://www.elsevier.com/locate/issn/0021-9150", "Atherosclerosis")</f>
        <v>Atherosclerosis</v>
      </c>
      <c r="C330" s="1" t="s">
        <v>10</v>
      </c>
      <c r="D330" s="1">
        <v>4020</v>
      </c>
      <c r="E330" s="1">
        <v>3760</v>
      </c>
      <c r="F330" s="1">
        <v>3220</v>
      </c>
      <c r="G330" s="1">
        <v>498600</v>
      </c>
    </row>
    <row r="331" spans="1:7" x14ac:dyDescent="0.25">
      <c r="A331" s="1" t="s">
        <v>546</v>
      </c>
      <c r="B331" s="2" t="str">
        <f>HYPERLINK("https://www.elsevier.com/locate/issn/2667-0895", "Atherosclerosis Plus")</f>
        <v>Atherosclerosis Plus</v>
      </c>
      <c r="C331" s="1" t="s">
        <v>23</v>
      </c>
      <c r="D331" s="1">
        <v>2440</v>
      </c>
      <c r="E331" s="1">
        <v>2280</v>
      </c>
      <c r="F331" s="1">
        <v>1950</v>
      </c>
      <c r="G331" s="1">
        <v>302630</v>
      </c>
    </row>
    <row r="332" spans="1:7" x14ac:dyDescent="0.25">
      <c r="A332" s="1" t="s">
        <v>547</v>
      </c>
      <c r="B332" s="2" t="str">
        <f>HYPERLINK("https://www.elsevier.com/locate/issn/1674-2834", "Atmospheric and Oceanic Science Letters")</f>
        <v>Atmospheric and Oceanic Science Letters</v>
      </c>
      <c r="C332" s="1" t="s">
        <v>34</v>
      </c>
      <c r="D332" s="1" t="s">
        <v>324</v>
      </c>
      <c r="E332" s="1" t="s">
        <v>324</v>
      </c>
      <c r="F332" s="1" t="s">
        <v>324</v>
      </c>
      <c r="G332" s="1" t="s">
        <v>324</v>
      </c>
    </row>
    <row r="333" spans="1:7" x14ac:dyDescent="0.25">
      <c r="A333" s="1" t="s">
        <v>548</v>
      </c>
      <c r="B333" s="2" t="str">
        <f>HYPERLINK("https://www.elsevier.com/locate/issn/1352-2310", "Atmospheric Environment")</f>
        <v>Atmospheric Environment</v>
      </c>
      <c r="C333" s="1" t="s">
        <v>10</v>
      </c>
      <c r="D333" s="1">
        <v>2910</v>
      </c>
      <c r="E333" s="1">
        <v>2720</v>
      </c>
      <c r="F333" s="1">
        <v>2330</v>
      </c>
      <c r="G333" s="1">
        <v>360930</v>
      </c>
    </row>
    <row r="334" spans="1:7" x14ac:dyDescent="0.25">
      <c r="A334" s="1" t="s">
        <v>549</v>
      </c>
      <c r="B334" s="2" t="str">
        <f>HYPERLINK("https://www.elsevier.com/locate/issn/2590-1621", "Atmospheric Environment: X")</f>
        <v>Atmospheric Environment: X</v>
      </c>
      <c r="C334" s="1" t="s">
        <v>23</v>
      </c>
      <c r="D334" s="1">
        <v>1860</v>
      </c>
      <c r="E334" s="1">
        <v>1740</v>
      </c>
      <c r="F334" s="1">
        <v>1490</v>
      </c>
      <c r="G334" s="1">
        <v>230700</v>
      </c>
    </row>
    <row r="335" spans="1:7" x14ac:dyDescent="0.25">
      <c r="A335" s="1" t="s">
        <v>550</v>
      </c>
      <c r="B335" s="2" t="str">
        <f>HYPERLINK("https://www.elsevier.com/locate/issn/1309-1042", "Atmospheric Pollution Research")</f>
        <v>Atmospheric Pollution Research</v>
      </c>
      <c r="C335" s="1" t="s">
        <v>10</v>
      </c>
      <c r="D335" s="1">
        <v>2570</v>
      </c>
      <c r="E335" s="1">
        <v>2400</v>
      </c>
      <c r="F335" s="1">
        <v>2060</v>
      </c>
      <c r="G335" s="1">
        <v>318760</v>
      </c>
    </row>
    <row r="336" spans="1:7" x14ac:dyDescent="0.25">
      <c r="A336" s="1" t="s">
        <v>551</v>
      </c>
      <c r="B336" s="2" t="str">
        <f>HYPERLINK("https://www.elsevier.com/locate/issn/0169-8095", "Atmospheric Research")</f>
        <v>Atmospheric Research</v>
      </c>
      <c r="C336" s="1" t="s">
        <v>10</v>
      </c>
      <c r="D336" s="1">
        <v>3310</v>
      </c>
      <c r="E336" s="1">
        <v>3100</v>
      </c>
      <c r="F336" s="1">
        <v>2650</v>
      </c>
      <c r="G336" s="1">
        <v>410540</v>
      </c>
    </row>
    <row r="337" spans="1:7" x14ac:dyDescent="0.25">
      <c r="A337" s="1" t="s">
        <v>552</v>
      </c>
      <c r="B337" s="2" t="str">
        <f>HYPERLINK("https://www.elsevier.com/locate/issn/0092-640X", "Atomic Data and Nuclear Data Tables")</f>
        <v>Atomic Data and Nuclear Data Tables</v>
      </c>
      <c r="C337" s="1" t="s">
        <v>10</v>
      </c>
      <c r="D337" s="1">
        <v>3030</v>
      </c>
      <c r="E337" s="1">
        <v>2830</v>
      </c>
      <c r="F337" s="1">
        <v>2430</v>
      </c>
      <c r="G337" s="1">
        <v>375810</v>
      </c>
    </row>
    <row r="338" spans="1:7" x14ac:dyDescent="0.25">
      <c r="A338" s="1" t="s">
        <v>553</v>
      </c>
      <c r="B338" s="2" t="str">
        <f>HYPERLINK("https://www.elsevier.com/locate/issn/0385-8146", "Auris Nasus Larynx")</f>
        <v>Auris Nasus Larynx</v>
      </c>
      <c r="C338" s="1" t="s">
        <v>10</v>
      </c>
      <c r="D338" s="1">
        <v>3520</v>
      </c>
      <c r="E338" s="1">
        <v>3290</v>
      </c>
      <c r="F338" s="1">
        <v>2820</v>
      </c>
      <c r="G338" s="1">
        <v>436590</v>
      </c>
    </row>
    <row r="339" spans="1:7" x14ac:dyDescent="0.25">
      <c r="A339" s="1" t="s">
        <v>554</v>
      </c>
      <c r="B339" s="2" t="str">
        <f>HYPERLINK("https://www.elsevier.com/locate/issn/2588-994X", "Australasian Emergency Care")</f>
        <v>Australasian Emergency Care</v>
      </c>
      <c r="C339" s="1" t="s">
        <v>10</v>
      </c>
      <c r="D339" s="1">
        <v>2760</v>
      </c>
      <c r="E339" s="1">
        <v>2580</v>
      </c>
      <c r="F339" s="1">
        <v>2210</v>
      </c>
      <c r="G339" s="1">
        <v>342320</v>
      </c>
    </row>
    <row r="340" spans="1:7" x14ac:dyDescent="0.25">
      <c r="A340" s="1" t="s">
        <v>555</v>
      </c>
      <c r="B340" s="2" t="str">
        <f>HYPERLINK("https://www.elsevier.com/locate/issn/1326-0200", "Australian and New Zealand Journal of Public Health")</f>
        <v>Australian and New Zealand Journal of Public Health</v>
      </c>
      <c r="C340" s="1" t="s">
        <v>23</v>
      </c>
      <c r="D340" s="1">
        <v>2600</v>
      </c>
      <c r="E340" s="1">
        <v>2430</v>
      </c>
      <c r="F340" s="1">
        <v>2080</v>
      </c>
      <c r="G340" s="1">
        <v>322480</v>
      </c>
    </row>
    <row r="341" spans="1:7" x14ac:dyDescent="0.25">
      <c r="A341" s="1" t="s">
        <v>556</v>
      </c>
      <c r="B341" s="2" t="str">
        <f>HYPERLINK("https://www.elsevier.com/locate/issn/1036-7314", "Australian Critical Care")</f>
        <v>Australian Critical Care</v>
      </c>
      <c r="C341" s="1" t="s">
        <v>10</v>
      </c>
      <c r="D341" s="1">
        <v>3500</v>
      </c>
      <c r="E341" s="1">
        <v>3270</v>
      </c>
      <c r="F341" s="1">
        <v>2800</v>
      </c>
      <c r="G341" s="1">
        <v>434110</v>
      </c>
    </row>
    <row r="342" spans="1:7" x14ac:dyDescent="0.25">
      <c r="A342" s="1" t="s">
        <v>557</v>
      </c>
      <c r="B342" s="2" t="str">
        <f>HYPERLINK("https://www.elsevier.com/locate/issn/1568-9972", "Autoimmunity Reviews")</f>
        <v>Autoimmunity Reviews</v>
      </c>
      <c r="C342" s="1" t="s">
        <v>10</v>
      </c>
      <c r="D342" s="1">
        <v>4730</v>
      </c>
      <c r="E342" s="1">
        <v>4420</v>
      </c>
      <c r="F342" s="1">
        <v>3790</v>
      </c>
      <c r="G342" s="1">
        <v>586660</v>
      </c>
    </row>
    <row r="343" spans="1:7" x14ac:dyDescent="0.25">
      <c r="A343" s="1" t="s">
        <v>558</v>
      </c>
      <c r="B343" s="2" t="str">
        <f>HYPERLINK("https://www.elsevier.com/locate/issn/0005-1098", "Automatica")</f>
        <v>Automatica</v>
      </c>
      <c r="C343" s="1" t="s">
        <v>10</v>
      </c>
      <c r="D343" s="1">
        <v>3760</v>
      </c>
      <c r="E343" s="1">
        <v>3520</v>
      </c>
      <c r="F343" s="1">
        <v>3010</v>
      </c>
      <c r="G343" s="1">
        <v>466350</v>
      </c>
    </row>
    <row r="344" spans="1:7" x14ac:dyDescent="0.25">
      <c r="A344" s="1" t="s">
        <v>559</v>
      </c>
      <c r="B344" s="2" t="str">
        <f>HYPERLINK("https://www.elsevier.com/locate/issn/0926-5805", "Automation in Construction")</f>
        <v>Automation in Construction</v>
      </c>
      <c r="C344" s="1" t="s">
        <v>10</v>
      </c>
      <c r="D344" s="1">
        <v>5490</v>
      </c>
      <c r="E344" s="1">
        <v>5140</v>
      </c>
      <c r="F344" s="1">
        <v>4400</v>
      </c>
      <c r="G344" s="1">
        <v>680920</v>
      </c>
    </row>
    <row r="345" spans="1:7" x14ac:dyDescent="0.25">
      <c r="A345" s="1" t="s">
        <v>560</v>
      </c>
      <c r="B345" s="2" t="str">
        <f>HYPERLINK("https://www.elsevier.com/locate/issn/1566-0702", "Autonomic Neuroscience")</f>
        <v>Autonomic Neuroscience</v>
      </c>
      <c r="C345" s="1" t="s">
        <v>10</v>
      </c>
      <c r="D345" s="1">
        <v>3500</v>
      </c>
      <c r="E345" s="1">
        <v>3270</v>
      </c>
      <c r="F345" s="1">
        <v>2800</v>
      </c>
      <c r="G345" s="1">
        <v>434110</v>
      </c>
    </row>
    <row r="346" spans="1:7" x14ac:dyDescent="0.25">
      <c r="A346" s="1" t="s">
        <v>561</v>
      </c>
      <c r="B346" s="2" t="str">
        <f>HYPERLINK("https://www.elsevier.com/locate/issn/3050-8622", "Autonomous Transportation Research")</f>
        <v>Autonomous Transportation Research</v>
      </c>
      <c r="C346" s="1" t="s">
        <v>34</v>
      </c>
      <c r="D346" s="1" t="s">
        <v>324</v>
      </c>
      <c r="E346" s="1" t="s">
        <v>324</v>
      </c>
      <c r="F346" s="1" t="s">
        <v>324</v>
      </c>
      <c r="G346" s="1" t="s">
        <v>324</v>
      </c>
    </row>
    <row r="347" spans="1:7" x14ac:dyDescent="0.25">
      <c r="A347" s="1" t="s">
        <v>562</v>
      </c>
      <c r="B347" s="2" t="str">
        <f>HYPERLINK("https://www.elsevier.com/locate/issn/2053-7166", "Avian Research")</f>
        <v>Avian Research</v>
      </c>
      <c r="C347" s="1" t="s">
        <v>34</v>
      </c>
      <c r="D347" s="1" t="s">
        <v>324</v>
      </c>
      <c r="E347" s="1" t="s">
        <v>324</v>
      </c>
      <c r="F347" s="1" t="s">
        <v>324</v>
      </c>
      <c r="G347" s="1" t="s">
        <v>324</v>
      </c>
    </row>
    <row r="348" spans="1:7" x14ac:dyDescent="0.25">
      <c r="A348" s="1" t="s">
        <v>563</v>
      </c>
      <c r="B348" s="2" t="str">
        <f>HYPERLINK("https://www.elsevier.com/locate/issn/1439-1791", "Basic and Applied Ecology")</f>
        <v>Basic and Applied Ecology</v>
      </c>
      <c r="C348" s="1" t="s">
        <v>23</v>
      </c>
      <c r="D348" s="1">
        <v>1800</v>
      </c>
      <c r="E348" s="1">
        <v>1680</v>
      </c>
      <c r="F348" s="1">
        <v>1440</v>
      </c>
      <c r="G348" s="1">
        <v>223250</v>
      </c>
    </row>
    <row r="349" spans="1:7" x14ac:dyDescent="0.25">
      <c r="A349" s="1" t="s">
        <v>564</v>
      </c>
      <c r="B349" s="2" t="str">
        <f>HYPERLINK("https://www.elsevier.com/locate/issn/2667-1603", "BBA Advances")</f>
        <v>BBA Advances</v>
      </c>
      <c r="C349" s="1" t="s">
        <v>23</v>
      </c>
      <c r="D349" s="1">
        <v>2410</v>
      </c>
      <c r="E349" s="1">
        <v>2250</v>
      </c>
      <c r="F349" s="1">
        <v>1930</v>
      </c>
      <c r="G349" s="1">
        <v>298910</v>
      </c>
    </row>
    <row r="350" spans="1:7" x14ac:dyDescent="0.25">
      <c r="A350" s="1" t="s">
        <v>565</v>
      </c>
      <c r="B350" s="2" t="str">
        <f>HYPERLINK("https://www.elsevier.com/locate/issn/0005-7894", "Behavior Therapy")</f>
        <v>Behavior Therapy</v>
      </c>
      <c r="C350" s="1" t="s">
        <v>10</v>
      </c>
      <c r="D350" s="1">
        <v>3600</v>
      </c>
      <c r="E350" s="1">
        <v>3370</v>
      </c>
      <c r="F350" s="1">
        <v>2880</v>
      </c>
      <c r="G350" s="1">
        <v>446510</v>
      </c>
    </row>
    <row r="351" spans="1:7" x14ac:dyDescent="0.25">
      <c r="A351" s="1" t="s">
        <v>566</v>
      </c>
      <c r="B351" s="2" t="str">
        <f>HYPERLINK("https://www.elsevier.com/locate/issn/0005-7967", "Behaviour Research and Therapy")</f>
        <v>Behaviour Research and Therapy</v>
      </c>
      <c r="C351" s="1" t="s">
        <v>10</v>
      </c>
      <c r="D351" s="1">
        <v>3580</v>
      </c>
      <c r="E351" s="1">
        <v>3350</v>
      </c>
      <c r="F351" s="1">
        <v>2870</v>
      </c>
      <c r="G351" s="1">
        <v>444030</v>
      </c>
    </row>
    <row r="352" spans="1:7" x14ac:dyDescent="0.25">
      <c r="A352" s="1" t="s">
        <v>567</v>
      </c>
      <c r="B352" s="2" t="str">
        <f>HYPERLINK("https://www.elsevier.com/locate/issn/0166-4328", "Behavioural Brain Research")</f>
        <v>Behavioural Brain Research</v>
      </c>
      <c r="C352" s="1" t="s">
        <v>10</v>
      </c>
      <c r="D352" s="1">
        <v>3590</v>
      </c>
      <c r="E352" s="1">
        <v>3360</v>
      </c>
      <c r="F352" s="1">
        <v>2870</v>
      </c>
      <c r="G352" s="1">
        <v>445270</v>
      </c>
    </row>
    <row r="353" spans="1:7" x14ac:dyDescent="0.25">
      <c r="A353" s="1" t="s">
        <v>568</v>
      </c>
      <c r="B353" s="2" t="str">
        <f>HYPERLINK("https://www.elsevier.com/locate/issn/0376-6357", "Behavioural Processes")</f>
        <v>Behavioural Processes</v>
      </c>
      <c r="C353" s="1" t="s">
        <v>10</v>
      </c>
      <c r="D353" s="1">
        <v>3550</v>
      </c>
      <c r="E353" s="1">
        <v>3320</v>
      </c>
      <c r="F353" s="1">
        <v>2840</v>
      </c>
      <c r="G353" s="1">
        <v>440310</v>
      </c>
    </row>
    <row r="354" spans="1:7" x14ac:dyDescent="0.25">
      <c r="A354" s="1" t="s">
        <v>569</v>
      </c>
      <c r="B354" s="2" t="str">
        <f>HYPERLINK("https://www.elsevier.com/locate/issn/1521-6896", "Best Practice &amp; Research Clinical Anaesthesiology")</f>
        <v>Best Practice &amp; Research Clinical Anaesthesiology</v>
      </c>
      <c r="C354" s="1" t="s">
        <v>10</v>
      </c>
      <c r="D354" s="1">
        <v>3510</v>
      </c>
      <c r="E354" s="1">
        <v>3280</v>
      </c>
      <c r="F354" s="1">
        <v>2810</v>
      </c>
      <c r="G354" s="1">
        <v>435350</v>
      </c>
    </row>
    <row r="355" spans="1:7" x14ac:dyDescent="0.25">
      <c r="A355" s="1" t="s">
        <v>570</v>
      </c>
      <c r="B355" s="2" t="str">
        <f>HYPERLINK("https://www.elsevier.com/locate/issn/1521-690X", "Best Practice &amp; Research Clinical Endocrinology &amp; Metabolism")</f>
        <v>Best Practice &amp; Research Clinical Endocrinology &amp; Metabolism</v>
      </c>
      <c r="C355" s="1" t="s">
        <v>10</v>
      </c>
      <c r="D355" s="1">
        <v>4450</v>
      </c>
      <c r="E355" s="1">
        <v>4160</v>
      </c>
      <c r="F355" s="1">
        <v>3560</v>
      </c>
      <c r="G355" s="1">
        <v>551930</v>
      </c>
    </row>
    <row r="356" spans="1:7" x14ac:dyDescent="0.25">
      <c r="A356" s="1" t="s">
        <v>571</v>
      </c>
      <c r="B356" s="2" t="str">
        <f>HYPERLINK("https://www.elsevier.com/locate/issn/1521-6918", "Best Practice &amp; Research Clinical Gastroenterology")</f>
        <v>Best Practice &amp; Research Clinical Gastroenterology</v>
      </c>
      <c r="C356" s="1" t="s">
        <v>10</v>
      </c>
      <c r="D356" s="1">
        <v>3620</v>
      </c>
      <c r="E356" s="1">
        <v>3390</v>
      </c>
      <c r="F356" s="1">
        <v>2900</v>
      </c>
      <c r="G356" s="1">
        <v>448990</v>
      </c>
    </row>
    <row r="357" spans="1:7" x14ac:dyDescent="0.25">
      <c r="A357" s="1" t="s">
        <v>572</v>
      </c>
      <c r="B357" s="2" t="str">
        <f>HYPERLINK("https://www.elsevier.com/locate/issn/1521-6926", "Best Practice &amp; Research Clinical Haematology")</f>
        <v>Best Practice &amp; Research Clinical Haematology</v>
      </c>
      <c r="C357" s="1" t="s">
        <v>10</v>
      </c>
      <c r="D357" s="1">
        <v>3730</v>
      </c>
      <c r="E357" s="1">
        <v>3490</v>
      </c>
      <c r="F357" s="1">
        <v>2990</v>
      </c>
      <c r="G357" s="1">
        <v>462630</v>
      </c>
    </row>
    <row r="358" spans="1:7" x14ac:dyDescent="0.25">
      <c r="A358" s="1" t="s">
        <v>573</v>
      </c>
      <c r="B358" s="2" t="str">
        <f>HYPERLINK("https://www.elsevier.com/locate/issn/1521-6934", "Best Practice &amp; Research Clinical Obstetrics &amp; Gynaecology")</f>
        <v>Best Practice &amp; Research Clinical Obstetrics &amp; Gynaecology</v>
      </c>
      <c r="C358" s="1" t="s">
        <v>10</v>
      </c>
      <c r="D358" s="1">
        <v>4560</v>
      </c>
      <c r="E358" s="1">
        <v>4270</v>
      </c>
      <c r="F358" s="1">
        <v>3650</v>
      </c>
      <c r="G358" s="1">
        <v>565580</v>
      </c>
    </row>
    <row r="359" spans="1:7" x14ac:dyDescent="0.25">
      <c r="A359" s="1" t="s">
        <v>574</v>
      </c>
      <c r="B359" s="2" t="str">
        <f>HYPERLINK("https://www.elsevier.com/locate/issn/1521-6942", "Best Practice &amp; Research Clinical Rheumatology")</f>
        <v>Best Practice &amp; Research Clinical Rheumatology</v>
      </c>
      <c r="C359" s="1" t="s">
        <v>10</v>
      </c>
      <c r="D359" s="1">
        <v>4180</v>
      </c>
      <c r="E359" s="1">
        <v>3910</v>
      </c>
      <c r="F359" s="1">
        <v>3350</v>
      </c>
      <c r="G359" s="1">
        <v>518450</v>
      </c>
    </row>
    <row r="360" spans="1:7" x14ac:dyDescent="0.25">
      <c r="A360" s="1" t="s">
        <v>575</v>
      </c>
      <c r="B360" s="2" t="str">
        <f>HYPERLINK("https://www.elsevier.com/locate/issn/3050-7405", "Big Data and Earth System")</f>
        <v>Big Data and Earth System</v>
      </c>
      <c r="C360" s="1" t="s">
        <v>34</v>
      </c>
      <c r="D360" s="1" t="s">
        <v>324</v>
      </c>
      <c r="E360" s="1" t="s">
        <v>324</v>
      </c>
      <c r="F360" s="1" t="s">
        <v>324</v>
      </c>
      <c r="G360" s="1" t="s">
        <v>324</v>
      </c>
    </row>
    <row r="361" spans="1:7" x14ac:dyDescent="0.25">
      <c r="A361" s="1" t="s">
        <v>576</v>
      </c>
      <c r="B361" s="2" t="str">
        <f>HYPERLINK("https://www.elsevier.com/locate/issn/2214-5796", "Big Data Research")</f>
        <v>Big Data Research</v>
      </c>
      <c r="C361" s="1" t="s">
        <v>10</v>
      </c>
      <c r="D361" s="1">
        <v>2840</v>
      </c>
      <c r="E361" s="1">
        <v>2660</v>
      </c>
      <c r="F361" s="1">
        <v>2270</v>
      </c>
      <c r="G361" s="1">
        <v>352250</v>
      </c>
    </row>
    <row r="362" spans="1:7" x14ac:dyDescent="0.25">
      <c r="A362" s="1" t="s">
        <v>577</v>
      </c>
      <c r="B362" s="2" t="str">
        <f>HYPERLINK("https://www.elsevier.com/locate/issn/2212-6198", "Bioactive Carbohydrates and Dietary Fibre")</f>
        <v>Bioactive Carbohydrates and Dietary Fibre</v>
      </c>
      <c r="C362" s="1" t="s">
        <v>10</v>
      </c>
      <c r="D362" s="1">
        <v>3340</v>
      </c>
      <c r="E362" s="1">
        <v>3120</v>
      </c>
      <c r="F362" s="1">
        <v>2670</v>
      </c>
      <c r="G362" s="1">
        <v>414260</v>
      </c>
    </row>
    <row r="363" spans="1:7" x14ac:dyDescent="0.25">
      <c r="A363" s="1" t="s">
        <v>578</v>
      </c>
      <c r="B363" s="2" t="str">
        <f>HYPERLINK("https://www.elsevier.com/locate/issn/2452-199X", "Bioactive Materials")</f>
        <v>Bioactive Materials</v>
      </c>
      <c r="C363" s="1" t="s">
        <v>34</v>
      </c>
      <c r="D363" s="1">
        <v>2200</v>
      </c>
      <c r="E363" s="1">
        <v>2060</v>
      </c>
      <c r="F363" s="1">
        <v>1760</v>
      </c>
      <c r="G363" s="1">
        <v>272870</v>
      </c>
    </row>
    <row r="364" spans="1:7" x14ac:dyDescent="0.25">
      <c r="A364" s="1" t="s">
        <v>579</v>
      </c>
      <c r="B364" s="2" t="str">
        <f>HYPERLINK("https://www.elsevier.com/locate/issn/1878-8181", "Biocatalysis and Agricultural Biotechnology")</f>
        <v>Biocatalysis and Agricultural Biotechnology</v>
      </c>
      <c r="C364" s="1" t="s">
        <v>10</v>
      </c>
      <c r="D364" s="1">
        <v>3420</v>
      </c>
      <c r="E364" s="1">
        <v>3200</v>
      </c>
      <c r="F364" s="1">
        <v>2740</v>
      </c>
      <c r="G364" s="1">
        <v>424180</v>
      </c>
    </row>
    <row r="365" spans="1:7" x14ac:dyDescent="0.25">
      <c r="A365" s="1" t="s">
        <v>580</v>
      </c>
      <c r="B365" s="2" t="str">
        <f>HYPERLINK("https://www.elsevier.com/locate/issn/0006-291X", "Biochemical and Biophysical Research Communications")</f>
        <v>Biochemical and Biophysical Research Communications</v>
      </c>
      <c r="C365" s="1" t="s">
        <v>10</v>
      </c>
      <c r="D365" s="1">
        <v>3110</v>
      </c>
      <c r="E365" s="1">
        <v>2910</v>
      </c>
      <c r="F365" s="1">
        <v>2490</v>
      </c>
      <c r="G365" s="1">
        <v>385730</v>
      </c>
    </row>
    <row r="366" spans="1:7" x14ac:dyDescent="0.25">
      <c r="A366" s="1" t="s">
        <v>581</v>
      </c>
      <c r="B366" s="2" t="str">
        <f>HYPERLINK("https://www.elsevier.com/locate/issn/1369-703X", "Biochemical Engineering Journal")</f>
        <v>Biochemical Engineering Journal</v>
      </c>
      <c r="C366" s="1" t="s">
        <v>10</v>
      </c>
      <c r="D366" s="1">
        <v>3820</v>
      </c>
      <c r="E366" s="1">
        <v>3570</v>
      </c>
      <c r="F366" s="1">
        <v>3060</v>
      </c>
      <c r="G366" s="1">
        <v>473790</v>
      </c>
    </row>
    <row r="367" spans="1:7" x14ac:dyDescent="0.25">
      <c r="A367" s="1" t="s">
        <v>582</v>
      </c>
      <c r="B367" s="2" t="str">
        <f>HYPERLINK("https://www.elsevier.com/locate/issn/0006-2952", "Biochemical Pharmacology")</f>
        <v>Biochemical Pharmacology</v>
      </c>
      <c r="C367" s="1" t="s">
        <v>10</v>
      </c>
      <c r="D367" s="1">
        <v>3590</v>
      </c>
      <c r="E367" s="1">
        <v>3360</v>
      </c>
      <c r="F367" s="1">
        <v>2870</v>
      </c>
      <c r="G367" s="1">
        <v>445270</v>
      </c>
    </row>
    <row r="368" spans="1:7" x14ac:dyDescent="0.25">
      <c r="A368" s="1" t="s">
        <v>583</v>
      </c>
      <c r="B368" s="2" t="str">
        <f>HYPERLINK("https://www.elsevier.com/locate/issn/0305-1978", "Biochemical Systematics and Ecology")</f>
        <v>Biochemical Systematics and Ecology</v>
      </c>
      <c r="C368" s="1" t="s">
        <v>10</v>
      </c>
      <c r="D368" s="1">
        <v>3500</v>
      </c>
      <c r="E368" s="1">
        <v>3270</v>
      </c>
      <c r="F368" s="1">
        <v>2800</v>
      </c>
      <c r="G368" s="1">
        <v>434110</v>
      </c>
    </row>
    <row r="369" spans="1:7" x14ac:dyDescent="0.25">
      <c r="A369" s="1" t="s">
        <v>584</v>
      </c>
      <c r="B369" s="2" t="str">
        <f>HYPERLINK("https://www.elsevier.com/locate/issn/2405-5808", "Biochemistry and Biophysics Reports")</f>
        <v>Biochemistry and Biophysics Reports</v>
      </c>
      <c r="C369" s="1" t="s">
        <v>23</v>
      </c>
      <c r="D369" s="1">
        <v>2700</v>
      </c>
      <c r="E369" s="1">
        <v>2530</v>
      </c>
      <c r="F369" s="1">
        <v>2160</v>
      </c>
      <c r="G369" s="1">
        <v>334880</v>
      </c>
    </row>
    <row r="370" spans="1:7" x14ac:dyDescent="0.25">
      <c r="A370" s="1" t="s">
        <v>585</v>
      </c>
      <c r="B370" s="2" t="str">
        <f>HYPERLINK("https://www.elsevier.com/locate/issn/0005-2728", "Biochimica et Biophysica Acta (BBA) - Bioenergetics")</f>
        <v>Biochimica et Biophysica Acta (BBA) - Bioenergetics</v>
      </c>
      <c r="C370" s="1" t="s">
        <v>10</v>
      </c>
      <c r="D370" s="1">
        <v>4680</v>
      </c>
      <c r="E370" s="1">
        <v>4380</v>
      </c>
      <c r="F370" s="1">
        <v>3750</v>
      </c>
      <c r="G370" s="1">
        <v>580460</v>
      </c>
    </row>
    <row r="371" spans="1:7" x14ac:dyDescent="0.25">
      <c r="A371" s="1" t="s">
        <v>586</v>
      </c>
      <c r="B371" s="2" t="str">
        <f>HYPERLINK("https://www.elsevier.com/locate/issn/0005-2736", "Biochimica et Biophysica Acta (BBA) - Biomembranes")</f>
        <v>Biochimica et Biophysica Acta (BBA) - Biomembranes</v>
      </c>
      <c r="C371" s="1" t="s">
        <v>10</v>
      </c>
      <c r="D371" s="1">
        <v>3870</v>
      </c>
      <c r="E371" s="1">
        <v>3620</v>
      </c>
      <c r="F371" s="1">
        <v>3100</v>
      </c>
      <c r="G371" s="1">
        <v>480000</v>
      </c>
    </row>
    <row r="372" spans="1:7" x14ac:dyDescent="0.25">
      <c r="A372" s="1" t="s">
        <v>587</v>
      </c>
      <c r="B372" s="2" t="str">
        <f>HYPERLINK("https://www.elsevier.com/locate/issn/1874-9399", "Biochimica et Biophysica Acta (BBA) - Gene Regulatory Mechanisms")</f>
        <v>Biochimica et Biophysica Acta (BBA) - Gene Regulatory Mechanisms</v>
      </c>
      <c r="C372" s="1" t="s">
        <v>10</v>
      </c>
      <c r="D372" s="1">
        <v>3840</v>
      </c>
      <c r="E372" s="1">
        <v>3590</v>
      </c>
      <c r="F372" s="1">
        <v>3070</v>
      </c>
      <c r="G372" s="1">
        <v>476280</v>
      </c>
    </row>
    <row r="373" spans="1:7" x14ac:dyDescent="0.25">
      <c r="A373" s="1" t="s">
        <v>588</v>
      </c>
      <c r="B373" s="2" t="str">
        <f>HYPERLINK("https://www.elsevier.com/locate/issn/0304-4165", "Biochimica et Biophysica Acta (BBA) - General Subjects")</f>
        <v>Biochimica et Biophysica Acta (BBA) - General Subjects</v>
      </c>
      <c r="C373" s="1" t="s">
        <v>10</v>
      </c>
      <c r="D373" s="1">
        <v>3310</v>
      </c>
      <c r="E373" s="1">
        <v>3100</v>
      </c>
      <c r="F373" s="1">
        <v>2650</v>
      </c>
      <c r="G373" s="1">
        <v>410540</v>
      </c>
    </row>
    <row r="374" spans="1:7" x14ac:dyDescent="0.25">
      <c r="A374" s="1" t="s">
        <v>589</v>
      </c>
      <c r="B374" s="2" t="str">
        <f>HYPERLINK("https://www.elsevier.com/locate/issn/1388-1981", "Biochimica et Biophysica Acta (BBA) - Molecular and Cell Biology of Lipids")</f>
        <v>Biochimica et Biophysica Acta (BBA) - Molecular and Cell Biology of Lipids</v>
      </c>
      <c r="C374" s="1" t="s">
        <v>10</v>
      </c>
      <c r="D374" s="1">
        <v>3670</v>
      </c>
      <c r="E374" s="1">
        <v>3430</v>
      </c>
      <c r="F374" s="1">
        <v>2940</v>
      </c>
      <c r="G374" s="1">
        <v>455190</v>
      </c>
    </row>
    <row r="375" spans="1:7" x14ac:dyDescent="0.25">
      <c r="A375" s="1" t="s">
        <v>590</v>
      </c>
      <c r="B375" s="2" t="str">
        <f>HYPERLINK("https://www.elsevier.com/locate/issn/0925-4439", "Biochimica et Biophysica Acta (BBA) - Molecular Basis of Disease")</f>
        <v>Biochimica et Biophysica Acta (BBA) - Molecular Basis of Disease</v>
      </c>
      <c r="C375" s="1" t="s">
        <v>10</v>
      </c>
      <c r="D375" s="1">
        <v>4010</v>
      </c>
      <c r="E375" s="1">
        <v>3750</v>
      </c>
      <c r="F375" s="1">
        <v>3210</v>
      </c>
      <c r="G375" s="1">
        <v>497360</v>
      </c>
    </row>
    <row r="376" spans="1:7" x14ac:dyDescent="0.25">
      <c r="A376" s="1" t="s">
        <v>591</v>
      </c>
      <c r="B376" s="2" t="str">
        <f>HYPERLINK("https://www.elsevier.com/locate/issn/0167-4889", "Biochimica et Biophysica Acta (BBA) - Molecular Cell Research")</f>
        <v>Biochimica et Biophysica Acta (BBA) - Molecular Cell Research</v>
      </c>
      <c r="C376" s="1" t="s">
        <v>10</v>
      </c>
      <c r="D376" s="1">
        <v>3930</v>
      </c>
      <c r="E376" s="1">
        <v>3680</v>
      </c>
      <c r="F376" s="1">
        <v>3150</v>
      </c>
      <c r="G376" s="1">
        <v>487440</v>
      </c>
    </row>
    <row r="377" spans="1:7" x14ac:dyDescent="0.25">
      <c r="A377" s="1" t="s">
        <v>592</v>
      </c>
      <c r="B377" s="2" t="str">
        <f>HYPERLINK("https://www.elsevier.com/locate/issn/1570-9639", "Biochimica et Biophysica Acta (BBA) - Proteins and Proteomics")</f>
        <v>Biochimica et Biophysica Acta (BBA) - Proteins and Proteomics</v>
      </c>
      <c r="C377" s="1" t="s">
        <v>10</v>
      </c>
      <c r="D377" s="1">
        <v>3900</v>
      </c>
      <c r="E377" s="1">
        <v>3650</v>
      </c>
      <c r="F377" s="1">
        <v>3120</v>
      </c>
      <c r="G377" s="1">
        <v>483720</v>
      </c>
    </row>
    <row r="378" spans="1:7" x14ac:dyDescent="0.25">
      <c r="A378" s="1" t="s">
        <v>593</v>
      </c>
      <c r="B378" s="2" t="str">
        <f>HYPERLINK("https://www.elsevier.com/locate/issn/0304-419X", "Biochimica et Biophysica Acta (BBA) - Reviews on Cancer")</f>
        <v>Biochimica et Biophysica Acta (BBA) - Reviews on Cancer</v>
      </c>
      <c r="C378" s="1" t="s">
        <v>10</v>
      </c>
      <c r="D378" s="1">
        <v>5070</v>
      </c>
      <c r="E378" s="1">
        <v>4740</v>
      </c>
      <c r="F378" s="1">
        <v>4060</v>
      </c>
      <c r="G378" s="1">
        <v>628830</v>
      </c>
    </row>
    <row r="379" spans="1:7" x14ac:dyDescent="0.25">
      <c r="A379" s="1" t="s">
        <v>594</v>
      </c>
      <c r="B379" s="2" t="str">
        <f>HYPERLINK("https://www.elsevier.com/locate/issn/0300-9084", "Biochimie")</f>
        <v>Biochimie</v>
      </c>
      <c r="C379" s="1" t="s">
        <v>10</v>
      </c>
      <c r="D379" s="1">
        <v>3110</v>
      </c>
      <c r="E379" s="1">
        <v>2910</v>
      </c>
      <c r="F379" s="1">
        <v>2490</v>
      </c>
      <c r="G379" s="1">
        <v>385730</v>
      </c>
    </row>
    <row r="380" spans="1:7" x14ac:dyDescent="0.25">
      <c r="A380" s="1" t="s">
        <v>595</v>
      </c>
      <c r="B380" s="2" t="str">
        <f>HYPERLINK("https://www.elsevier.com/locate/issn/0208-5216", "Biocybernetics and Biomedical Engineering")</f>
        <v>Biocybernetics and Biomedical Engineering</v>
      </c>
      <c r="C380" s="1" t="s">
        <v>10</v>
      </c>
      <c r="D380" s="1">
        <v>3180</v>
      </c>
      <c r="E380" s="1">
        <v>2970</v>
      </c>
      <c r="F380" s="1">
        <v>2550</v>
      </c>
      <c r="G380" s="1">
        <v>394420</v>
      </c>
    </row>
    <row r="381" spans="1:7" x14ac:dyDescent="0.25">
      <c r="A381" s="1" t="s">
        <v>596</v>
      </c>
      <c r="B381" s="2" t="str">
        <f>HYPERLINK("https://www.elsevier.com/locate/issn/2693-1257", "BioDesign Research")</f>
        <v>BioDesign Research</v>
      </c>
      <c r="C381" s="1" t="s">
        <v>23</v>
      </c>
      <c r="D381" s="1">
        <v>2500</v>
      </c>
      <c r="E381" s="1">
        <v>2340</v>
      </c>
      <c r="F381" s="1">
        <v>2000</v>
      </c>
      <c r="G381" s="1">
        <v>310080</v>
      </c>
    </row>
    <row r="382" spans="1:7" x14ac:dyDescent="0.25">
      <c r="A382" s="1" t="s">
        <v>597</v>
      </c>
      <c r="B382" s="2" t="str">
        <f>HYPERLINK("https://www.elsevier.com/locate/issn/1567-5394", "Bioelectrochemistry")</f>
        <v>Bioelectrochemistry</v>
      </c>
      <c r="C382" s="1" t="s">
        <v>10</v>
      </c>
      <c r="D382" s="1">
        <v>3970</v>
      </c>
      <c r="E382" s="1">
        <v>3710</v>
      </c>
      <c r="F382" s="1">
        <v>3180</v>
      </c>
      <c r="G382" s="1">
        <v>492400</v>
      </c>
    </row>
    <row r="383" spans="1:7" x14ac:dyDescent="0.25">
      <c r="A383" s="1" t="s">
        <v>598</v>
      </c>
      <c r="B383" s="2" t="str">
        <f>HYPERLINK("https://www.elsevier.com/locate/issn/2590-2075", "Biofilm")</f>
        <v>Biofilm</v>
      </c>
      <c r="C383" s="1" t="s">
        <v>23</v>
      </c>
      <c r="D383" s="1">
        <v>3140</v>
      </c>
      <c r="E383" s="1">
        <v>2940</v>
      </c>
      <c r="F383" s="1">
        <v>2510</v>
      </c>
      <c r="G383" s="1">
        <v>389450</v>
      </c>
    </row>
    <row r="384" spans="1:7" x14ac:dyDescent="0.25">
      <c r="A384" s="1" t="s">
        <v>599</v>
      </c>
      <c r="B384" s="2" t="str">
        <f>HYPERLINK("https://www.elsevier.com/locate/issn/2949-9291", "Biogeotechnics")</f>
        <v>Biogeotechnics</v>
      </c>
      <c r="C384" s="1" t="s">
        <v>34</v>
      </c>
      <c r="D384" s="1" t="s">
        <v>324</v>
      </c>
      <c r="E384" s="1" t="s">
        <v>324</v>
      </c>
      <c r="F384" s="1" t="s">
        <v>324</v>
      </c>
      <c r="G384" s="1" t="s">
        <v>324</v>
      </c>
    </row>
    <row r="385" spans="1:7" x14ac:dyDescent="0.25">
      <c r="A385" s="1" t="s">
        <v>600</v>
      </c>
      <c r="B385" s="2" t="str">
        <f>HYPERLINK("https://www.elsevier.com/locate/issn/0006-3207", "Biological Conservation")</f>
        <v>Biological Conservation</v>
      </c>
      <c r="C385" s="1" t="s">
        <v>10</v>
      </c>
      <c r="D385" s="1">
        <v>3830</v>
      </c>
      <c r="E385" s="1">
        <v>3580</v>
      </c>
      <c r="F385" s="1">
        <v>3070</v>
      </c>
      <c r="G385" s="1">
        <v>475030</v>
      </c>
    </row>
    <row r="386" spans="1:7" x14ac:dyDescent="0.25">
      <c r="A386" s="1" t="s">
        <v>601</v>
      </c>
      <c r="B386" s="2" t="str">
        <f>HYPERLINK("https://www.elsevier.com/locate/issn/1049-9644", "Biological Control")</f>
        <v>Biological Control</v>
      </c>
      <c r="C386" s="1" t="s">
        <v>23</v>
      </c>
      <c r="D386" s="1">
        <v>3390</v>
      </c>
      <c r="E386" s="1">
        <v>3170</v>
      </c>
      <c r="F386" s="1">
        <v>2710</v>
      </c>
      <c r="G386" s="1">
        <v>420460</v>
      </c>
    </row>
    <row r="387" spans="1:7" x14ac:dyDescent="0.25">
      <c r="A387" s="1" t="s">
        <v>602</v>
      </c>
      <c r="B387" s="2" t="str">
        <f>HYPERLINK("https://www.elsevier.com/locate/issn/0006-3223", "Biological Psychiatry")</f>
        <v>Biological Psychiatry</v>
      </c>
      <c r="C387" s="1" t="s">
        <v>10</v>
      </c>
      <c r="D387" s="1">
        <v>5489</v>
      </c>
      <c r="E387" s="1">
        <v>5130</v>
      </c>
      <c r="F387" s="1">
        <v>4390</v>
      </c>
      <c r="G387" s="1">
        <v>680800</v>
      </c>
    </row>
    <row r="388" spans="1:7" x14ac:dyDescent="0.25">
      <c r="A388" s="1" t="s">
        <v>603</v>
      </c>
      <c r="B388" s="2" t="str">
        <f>HYPERLINK("https://www.elsevier.com/locate/issn/2667-1743", "Biological Psychiatry Global Open Science")</f>
        <v>Biological Psychiatry Global Open Science</v>
      </c>
      <c r="C388" s="1" t="s">
        <v>23</v>
      </c>
      <c r="D388" s="1">
        <v>3700</v>
      </c>
      <c r="E388" s="1">
        <v>3460</v>
      </c>
      <c r="F388" s="1">
        <v>2960</v>
      </c>
      <c r="G388" s="1">
        <v>458910</v>
      </c>
    </row>
    <row r="389" spans="1:7" x14ac:dyDescent="0.25">
      <c r="A389" s="1" t="s">
        <v>604</v>
      </c>
      <c r="B389" s="2" t="str">
        <f>HYPERLINK("https://www.elsevier.com/locate/issn/2451-9022", "Biological Psychiatry: Cognitive Neuroscience and Neuroimaging")</f>
        <v>Biological Psychiatry: Cognitive Neuroscience and Neuroimaging</v>
      </c>
      <c r="C389" s="1" t="s">
        <v>10</v>
      </c>
      <c r="D389" s="1">
        <v>4050</v>
      </c>
      <c r="E389" s="1">
        <v>3790</v>
      </c>
      <c r="F389" s="1">
        <v>3240</v>
      </c>
      <c r="G389" s="1">
        <v>502320</v>
      </c>
    </row>
    <row r="390" spans="1:7" x14ac:dyDescent="0.25">
      <c r="A390" s="1" t="s">
        <v>605</v>
      </c>
      <c r="B390" s="2" t="str">
        <f>HYPERLINK("https://www.elsevier.com/locate/issn/0301-0511", "Biological Psychology")</f>
        <v>Biological Psychology</v>
      </c>
      <c r="C390" s="1" t="s">
        <v>10</v>
      </c>
      <c r="D390" s="1">
        <v>3440</v>
      </c>
      <c r="E390" s="1">
        <v>3220</v>
      </c>
      <c r="F390" s="1">
        <v>2750</v>
      </c>
      <c r="G390" s="1">
        <v>426660</v>
      </c>
    </row>
    <row r="391" spans="1:7" x14ac:dyDescent="0.25">
      <c r="A391" s="1" t="s">
        <v>606</v>
      </c>
      <c r="B391" s="2" t="str">
        <f>HYPERLINK("https://www.elsevier.com/locate/issn/1045-1056", "Biologicals")</f>
        <v>Biologicals</v>
      </c>
      <c r="C391" s="1" t="s">
        <v>10</v>
      </c>
      <c r="D391" s="1">
        <v>3000</v>
      </c>
      <c r="E391" s="1">
        <v>2810</v>
      </c>
      <c r="F391" s="1">
        <v>2400</v>
      </c>
      <c r="G391" s="1">
        <v>372090</v>
      </c>
    </row>
    <row r="392" spans="1:7" x14ac:dyDescent="0.25">
      <c r="A392" s="1" t="s">
        <v>607</v>
      </c>
      <c r="B392" s="2" t="str">
        <f>HYPERLINK("https://www.elsevier.com/locate/issn/2666-1446", "Biomarkers in Neuropsychiatry")</f>
        <v>Biomarkers in Neuropsychiatry</v>
      </c>
      <c r="C392" s="1" t="s">
        <v>23</v>
      </c>
      <c r="D392" s="1">
        <v>2930</v>
      </c>
      <c r="E392" s="1">
        <v>2740</v>
      </c>
      <c r="F392" s="1">
        <v>2350</v>
      </c>
      <c r="G392" s="1">
        <v>363410</v>
      </c>
    </row>
    <row r="393" spans="1:7" x14ac:dyDescent="0.25">
      <c r="A393" s="1" t="s">
        <v>608</v>
      </c>
      <c r="B393" s="2" t="str">
        <f>HYPERLINK("https://www.elsevier.com/locate/issn/0961-9534", "Biomass and Bioenergy")</f>
        <v>Biomass and Bioenergy</v>
      </c>
      <c r="C393" s="1" t="s">
        <v>10</v>
      </c>
      <c r="D393" s="1">
        <v>4270</v>
      </c>
      <c r="E393" s="1">
        <v>3990</v>
      </c>
      <c r="F393" s="1">
        <v>3420</v>
      </c>
      <c r="G393" s="1">
        <v>529610</v>
      </c>
    </row>
    <row r="394" spans="1:7" x14ac:dyDescent="0.25">
      <c r="A394" s="1" t="s">
        <v>609</v>
      </c>
      <c r="B394" s="2" t="str">
        <f>HYPERLINK("https://www.elsevier.com/locate/issn/0142-9612", "Biomaterials")</f>
        <v>Biomaterials</v>
      </c>
      <c r="C394" s="1" t="s">
        <v>10</v>
      </c>
      <c r="D394" s="1">
        <v>4640</v>
      </c>
      <c r="E394" s="1">
        <v>4340</v>
      </c>
      <c r="F394" s="1">
        <v>3710</v>
      </c>
      <c r="G394" s="1">
        <v>575500</v>
      </c>
    </row>
    <row r="395" spans="1:7" x14ac:dyDescent="0.25">
      <c r="A395" s="1" t="s">
        <v>610</v>
      </c>
      <c r="B395" s="2" t="str">
        <f>HYPERLINK("https://www.elsevier.com/locate/issn/2772-9508", "Biomaterials Advances")</f>
        <v>Biomaterials Advances</v>
      </c>
      <c r="C395" s="1" t="s">
        <v>10</v>
      </c>
      <c r="D395" s="1">
        <v>3750</v>
      </c>
      <c r="E395" s="1">
        <v>3510</v>
      </c>
      <c r="F395" s="1">
        <v>3000</v>
      </c>
      <c r="G395" s="1">
        <v>465110</v>
      </c>
    </row>
    <row r="396" spans="1:7" x14ac:dyDescent="0.25">
      <c r="A396" s="1" t="s">
        <v>611</v>
      </c>
      <c r="B396" s="2" t="str">
        <f>HYPERLINK("https://www.elsevier.com/locate/issn/2666-5344", "Biomaterials and Biosystems")</f>
        <v>Biomaterials and Biosystems</v>
      </c>
      <c r="C396" s="1" t="s">
        <v>23</v>
      </c>
      <c r="D396" s="1">
        <v>2340</v>
      </c>
      <c r="E396" s="1">
        <v>2190</v>
      </c>
      <c r="F396" s="1">
        <v>1870</v>
      </c>
      <c r="G396" s="1">
        <v>290230</v>
      </c>
    </row>
    <row r="397" spans="1:7" x14ac:dyDescent="0.25">
      <c r="A397" s="1" t="s">
        <v>612</v>
      </c>
      <c r="B397" s="2" t="str">
        <f>HYPERLINK("https://www.elsevier.com/locate/issn/2950-435X", "Biomedical Analysis")</f>
        <v>Biomedical Analysis</v>
      </c>
      <c r="C397" s="1" t="s">
        <v>34</v>
      </c>
      <c r="D397" s="1" t="s">
        <v>324</v>
      </c>
      <c r="E397" s="1" t="s">
        <v>324</v>
      </c>
      <c r="F397" s="1" t="s">
        <v>324</v>
      </c>
      <c r="G397" s="1" t="s">
        <v>324</v>
      </c>
    </row>
    <row r="398" spans="1:7" x14ac:dyDescent="0.25">
      <c r="A398" s="1" t="s">
        <v>613</v>
      </c>
      <c r="B398" s="2" t="str">
        <f>HYPERLINK("https://www.elsevier.com/locate/issn/2667-0992", "Biomedical Engineering Advances")</f>
        <v>Biomedical Engineering Advances</v>
      </c>
      <c r="C398" s="1" t="s">
        <v>23</v>
      </c>
      <c r="D398" s="1">
        <v>2020</v>
      </c>
      <c r="E398" s="1">
        <v>1890</v>
      </c>
      <c r="F398" s="1">
        <v>1620</v>
      </c>
      <c r="G398" s="1">
        <v>250540</v>
      </c>
    </row>
    <row r="399" spans="1:7" x14ac:dyDescent="0.25">
      <c r="A399" s="1" t="s">
        <v>614</v>
      </c>
      <c r="B399" s="2" t="str">
        <f>HYPERLINK("https://www.elsevier.com/locate/issn/3050-5372", "Biomedical Instrumentation")</f>
        <v>Biomedical Instrumentation</v>
      </c>
      <c r="C399" s="1" t="s">
        <v>34</v>
      </c>
      <c r="D399" s="1" t="s">
        <v>324</v>
      </c>
      <c r="E399" s="1" t="s">
        <v>324</v>
      </c>
      <c r="F399" s="1" t="s">
        <v>324</v>
      </c>
      <c r="G399" s="1" t="s">
        <v>324</v>
      </c>
    </row>
    <row r="400" spans="1:7" x14ac:dyDescent="0.25">
      <c r="A400" s="1" t="s">
        <v>615</v>
      </c>
      <c r="B400" s="2" t="str">
        <f>HYPERLINK("https://www.elsevier.com/locate/issn/2319-4170", "Biomedical Journal")</f>
        <v>Biomedical Journal</v>
      </c>
      <c r="C400" s="1" t="s">
        <v>23</v>
      </c>
      <c r="D400" s="1">
        <v>2700</v>
      </c>
      <c r="E400" s="1">
        <v>2530</v>
      </c>
      <c r="F400" s="1">
        <v>2160</v>
      </c>
      <c r="G400" s="1">
        <v>334880</v>
      </c>
    </row>
    <row r="401" spans="1:7" x14ac:dyDescent="0.25">
      <c r="A401" s="1" t="s">
        <v>616</v>
      </c>
      <c r="B401" s="2" t="str">
        <f>HYPERLINK("https://www.elsevier.com/locate/issn/1746-8094", "Biomedical Signal Processing and Control")</f>
        <v>Biomedical Signal Processing and Control</v>
      </c>
      <c r="C401" s="1" t="s">
        <v>10</v>
      </c>
      <c r="D401" s="1">
        <v>2590</v>
      </c>
      <c r="E401" s="1">
        <v>2420</v>
      </c>
      <c r="F401" s="1">
        <v>2070</v>
      </c>
      <c r="G401" s="1">
        <v>321240</v>
      </c>
    </row>
    <row r="402" spans="1:7" x14ac:dyDescent="0.25">
      <c r="A402" s="1" t="s">
        <v>617</v>
      </c>
      <c r="B402" s="2" t="str">
        <f>HYPERLINK("https://www.elsevier.com/locate/issn/2949-723X", "Biomedical Technology")</f>
        <v>Biomedical Technology</v>
      </c>
      <c r="C402" s="1" t="s">
        <v>34</v>
      </c>
      <c r="D402" s="1" t="s">
        <v>324</v>
      </c>
      <c r="E402" s="1" t="s">
        <v>324</v>
      </c>
      <c r="F402" s="1" t="s">
        <v>324</v>
      </c>
      <c r="G402" s="1" t="s">
        <v>324</v>
      </c>
    </row>
    <row r="403" spans="1:7" x14ac:dyDescent="0.25">
      <c r="A403" s="1" t="s">
        <v>618</v>
      </c>
      <c r="B403" s="2" t="str">
        <f>HYPERLINK("https://www.elsevier.com/locate/issn/0753-3322", "Biomedicine &amp; Pharmacotherapy")</f>
        <v>Biomedicine &amp; Pharmacotherapy</v>
      </c>
      <c r="C403" s="1" t="s">
        <v>23</v>
      </c>
      <c r="D403" s="1">
        <v>3610</v>
      </c>
      <c r="E403" s="1">
        <v>3380</v>
      </c>
      <c r="F403" s="1">
        <v>2890</v>
      </c>
      <c r="G403" s="1">
        <v>447750</v>
      </c>
    </row>
    <row r="404" spans="1:7" x14ac:dyDescent="0.25">
      <c r="A404" s="1" t="s">
        <v>619</v>
      </c>
      <c r="B404" s="2" t="str">
        <f>HYPERLINK("https://www.elsevier.com/locate/issn/2667-3797", "Biomimetic Intelligence and Robotics")</f>
        <v>Biomimetic Intelligence and Robotics</v>
      </c>
      <c r="C404" s="1" t="s">
        <v>23</v>
      </c>
      <c r="D404" s="1">
        <v>1800</v>
      </c>
      <c r="E404" s="1">
        <v>1680</v>
      </c>
      <c r="F404" s="1">
        <v>1440</v>
      </c>
      <c r="G404" s="1">
        <v>223250</v>
      </c>
    </row>
    <row r="405" spans="1:7" x14ac:dyDescent="0.25">
      <c r="A405" s="1" t="s">
        <v>620</v>
      </c>
      <c r="B405" s="2" t="str">
        <f>HYPERLINK("https://www.elsevier.com/locate/issn/0968-0896", "Bioorganic &amp; Medicinal Chemistry")</f>
        <v>Bioorganic &amp; Medicinal Chemistry</v>
      </c>
      <c r="C405" s="1" t="s">
        <v>10</v>
      </c>
      <c r="D405" s="1">
        <v>3960</v>
      </c>
      <c r="E405" s="1">
        <v>3700</v>
      </c>
      <c r="F405" s="1">
        <v>3170</v>
      </c>
      <c r="G405" s="1">
        <v>491160</v>
      </c>
    </row>
    <row r="406" spans="1:7" x14ac:dyDescent="0.25">
      <c r="A406" s="1" t="s">
        <v>621</v>
      </c>
      <c r="B406" s="2" t="str">
        <f>HYPERLINK("https://www.elsevier.com/locate/issn/0960-894X", "Bioorganic &amp; Medicinal Chemistry Letters")</f>
        <v>Bioorganic &amp; Medicinal Chemistry Letters</v>
      </c>
      <c r="C406" s="1" t="s">
        <v>10</v>
      </c>
      <c r="D406" s="1">
        <v>3880</v>
      </c>
      <c r="E406" s="1">
        <v>3630</v>
      </c>
      <c r="F406" s="1">
        <v>3110</v>
      </c>
      <c r="G406" s="1">
        <v>481240</v>
      </c>
    </row>
    <row r="407" spans="1:7" x14ac:dyDescent="0.25">
      <c r="A407" s="1" t="s">
        <v>622</v>
      </c>
      <c r="B407" s="2" t="str">
        <f>HYPERLINK("https://www.elsevier.com/locate/issn/0045-2068", "Bioorganic Chemistry")</f>
        <v>Bioorganic Chemistry</v>
      </c>
      <c r="C407" s="1" t="s">
        <v>10</v>
      </c>
      <c r="D407" s="1">
        <v>4240</v>
      </c>
      <c r="E407" s="1">
        <v>3970</v>
      </c>
      <c r="F407" s="1">
        <v>3390</v>
      </c>
      <c r="G407" s="1">
        <v>525890</v>
      </c>
    </row>
    <row r="408" spans="1:7" x14ac:dyDescent="0.25">
      <c r="A408" s="1" t="s">
        <v>623</v>
      </c>
      <c r="B408" s="2" t="str">
        <f>HYPERLINK("https://www.elsevier.com/locate/issn/0301-4622", "Biophysical Chemistry")</f>
        <v>Biophysical Chemistry</v>
      </c>
      <c r="C408" s="1" t="s">
        <v>10</v>
      </c>
      <c r="D408" s="1">
        <v>3720</v>
      </c>
      <c r="E408" s="1">
        <v>3480</v>
      </c>
      <c r="F408" s="1">
        <v>2980</v>
      </c>
      <c r="G408" s="1">
        <v>461390</v>
      </c>
    </row>
    <row r="409" spans="1:7" x14ac:dyDescent="0.25">
      <c r="A409" s="1" t="s">
        <v>624</v>
      </c>
      <c r="B409" s="2" t="str">
        <f>HYPERLINK("https://www.elsevier.com/locate/issn/0006-3495", "Biophysical Journal")</f>
        <v>Biophysical Journal</v>
      </c>
      <c r="C409" s="1" t="s">
        <v>10</v>
      </c>
      <c r="D409" s="1">
        <v>3000</v>
      </c>
      <c r="E409" s="1">
        <v>2780</v>
      </c>
      <c r="F409" s="1">
        <v>2400</v>
      </c>
      <c r="G409" s="1">
        <v>372090</v>
      </c>
    </row>
    <row r="410" spans="1:7" x14ac:dyDescent="0.25">
      <c r="A410" s="1" t="s">
        <v>625</v>
      </c>
      <c r="B410" s="2" t="str">
        <f>HYPERLINK("https://www.elsevier.com/locate/issn/2667-0747", "Biophysical Reports")</f>
        <v>Biophysical Reports</v>
      </c>
      <c r="C410" s="1" t="s">
        <v>23</v>
      </c>
      <c r="D410" s="1">
        <v>2400</v>
      </c>
      <c r="E410" s="1">
        <v>2220</v>
      </c>
      <c r="F410" s="1">
        <v>1920</v>
      </c>
      <c r="G410" s="1">
        <v>297670</v>
      </c>
    </row>
    <row r="411" spans="1:7" x14ac:dyDescent="0.25">
      <c r="A411" s="1" t="s">
        <v>626</v>
      </c>
      <c r="B411" s="2" t="str">
        <f>HYPERLINK("https://www.elsevier.com/locate/issn/2405-8866", "Bioprinting")</f>
        <v>Bioprinting</v>
      </c>
      <c r="C411" s="1" t="s">
        <v>10</v>
      </c>
      <c r="D411" s="1">
        <v>3940</v>
      </c>
      <c r="E411" s="1">
        <v>3690</v>
      </c>
      <c r="F411" s="1">
        <v>3150</v>
      </c>
      <c r="G411" s="1">
        <v>488680</v>
      </c>
    </row>
    <row r="412" spans="1:7" x14ac:dyDescent="0.25">
      <c r="A412" s="1" t="s">
        <v>627</v>
      </c>
      <c r="B412" s="2" t="str">
        <f>HYPERLINK("https://www.elsevier.com/locate/issn/0960-8524", "Bioresource Technology")</f>
        <v>Bioresource Technology</v>
      </c>
      <c r="C412" s="1" t="s">
        <v>10</v>
      </c>
      <c r="D412" s="1">
        <v>4880</v>
      </c>
      <c r="E412" s="1">
        <v>4570</v>
      </c>
      <c r="F412" s="1">
        <v>3910</v>
      </c>
      <c r="G412" s="1">
        <v>605270</v>
      </c>
    </row>
    <row r="413" spans="1:7" x14ac:dyDescent="0.25">
      <c r="A413" s="1" t="s">
        <v>628</v>
      </c>
      <c r="B413" s="2" t="str">
        <f>HYPERLINK("https://www.elsevier.com/locate/issn/2589-014X", "Bioresource Technology Reports")</f>
        <v>Bioresource Technology Reports</v>
      </c>
      <c r="C413" s="1" t="s">
        <v>10</v>
      </c>
      <c r="D413" s="1">
        <v>3920</v>
      </c>
      <c r="E413" s="1">
        <v>3670</v>
      </c>
      <c r="F413" s="1">
        <v>3140</v>
      </c>
      <c r="G413" s="1">
        <v>486200</v>
      </c>
    </row>
    <row r="414" spans="1:7" x14ac:dyDescent="0.25">
      <c r="A414" s="1" t="s">
        <v>629</v>
      </c>
      <c r="B414" s="2" t="str">
        <f>HYPERLINK("https://www.elsevier.com/locate/issn/2590-0536", "Biosafety and Health")</f>
        <v>Biosafety and Health</v>
      </c>
      <c r="C414" s="1" t="s">
        <v>23</v>
      </c>
      <c r="D414" s="1">
        <v>2250</v>
      </c>
      <c r="E414" s="1">
        <v>2100</v>
      </c>
      <c r="F414" s="1">
        <v>1800</v>
      </c>
      <c r="G414" s="1">
        <v>279070</v>
      </c>
    </row>
    <row r="415" spans="1:7" x14ac:dyDescent="0.25">
      <c r="A415" s="1" t="s">
        <v>630</v>
      </c>
      <c r="B415" s="2" t="str">
        <f>HYPERLINK("https://www.elsevier.com/locate/issn/0956-5663", "Biosensors and Bioelectronics")</f>
        <v>Biosensors and Bioelectronics</v>
      </c>
      <c r="C415" s="1" t="s">
        <v>10</v>
      </c>
      <c r="D415" s="1">
        <v>5540</v>
      </c>
      <c r="E415" s="1">
        <v>5180</v>
      </c>
      <c r="F415" s="1">
        <v>4440</v>
      </c>
      <c r="G415" s="1">
        <v>687130</v>
      </c>
    </row>
    <row r="416" spans="1:7" x14ac:dyDescent="0.25">
      <c r="A416" s="1" t="s">
        <v>631</v>
      </c>
      <c r="B416" s="2" t="str">
        <f>HYPERLINK("https://www.elsevier.com/locate/issn/2590-1370", "Biosensors and Bioelectronics: X")</f>
        <v>Biosensors and Bioelectronics: X</v>
      </c>
      <c r="C416" s="1" t="s">
        <v>23</v>
      </c>
      <c r="D416" s="1">
        <v>2490</v>
      </c>
      <c r="E416" s="1">
        <v>2330</v>
      </c>
      <c r="F416" s="1">
        <v>1990</v>
      </c>
      <c r="G416" s="1">
        <v>308830</v>
      </c>
    </row>
    <row r="417" spans="1:7" x14ac:dyDescent="0.25">
      <c r="A417" s="1" t="s">
        <v>632</v>
      </c>
      <c r="B417" s="2" t="str">
        <f>HYPERLINK("https://www.elsevier.com/locate/issn/0303-2647", "Biosystems")</f>
        <v>Biosystems</v>
      </c>
      <c r="C417" s="1" t="s">
        <v>10</v>
      </c>
      <c r="D417" s="1">
        <v>2980</v>
      </c>
      <c r="E417" s="1">
        <v>2790</v>
      </c>
      <c r="F417" s="1">
        <v>2390</v>
      </c>
      <c r="G417" s="1">
        <v>369610</v>
      </c>
    </row>
    <row r="418" spans="1:7" x14ac:dyDescent="0.25">
      <c r="A418" s="1" t="s">
        <v>633</v>
      </c>
      <c r="B418" s="2" t="str">
        <f>HYPERLINK("https://www.elsevier.com/locate/issn/1537-5110", "Biosystems Engineering")</f>
        <v>Biosystems Engineering</v>
      </c>
      <c r="C418" s="1" t="s">
        <v>10</v>
      </c>
      <c r="D418" s="1">
        <v>3350</v>
      </c>
      <c r="E418" s="1">
        <v>3130</v>
      </c>
      <c r="F418" s="1">
        <v>2680</v>
      </c>
      <c r="G418" s="1">
        <v>415500</v>
      </c>
    </row>
    <row r="419" spans="1:7" x14ac:dyDescent="0.25">
      <c r="A419" s="1" t="s">
        <v>634</v>
      </c>
      <c r="B419" s="2" t="str">
        <f>HYPERLINK("https://www.elsevier.com/locate/issn/0734-9750", "Biotechnology Advances")</f>
        <v>Biotechnology Advances</v>
      </c>
      <c r="C419" s="1" t="s">
        <v>10</v>
      </c>
      <c r="D419" s="1">
        <v>5460</v>
      </c>
      <c r="E419" s="1">
        <v>5110</v>
      </c>
      <c r="F419" s="1">
        <v>4370</v>
      </c>
      <c r="G419" s="1">
        <v>677200</v>
      </c>
    </row>
    <row r="420" spans="1:7" x14ac:dyDescent="0.25">
      <c r="A420" s="1" t="s">
        <v>635</v>
      </c>
      <c r="B420" s="2" t="str">
        <f>HYPERLINK("https://www.elsevier.com/locate/issn/2665-9069", "Biotechnology Notes")</f>
        <v>Biotechnology Notes</v>
      </c>
      <c r="C420" s="1" t="s">
        <v>34</v>
      </c>
      <c r="D420" s="1">
        <v>700</v>
      </c>
      <c r="E420" s="1">
        <v>650</v>
      </c>
      <c r="F420" s="1">
        <v>560</v>
      </c>
      <c r="G420" s="1">
        <v>86820</v>
      </c>
    </row>
    <row r="421" spans="1:7" x14ac:dyDescent="0.25">
      <c r="A421" s="1" t="s">
        <v>636</v>
      </c>
      <c r="B421" s="2" t="str">
        <f>HYPERLINK("https://www.elsevier.com/locate/issn/2215-017X", "Biotechnology Reports")</f>
        <v>Biotechnology Reports</v>
      </c>
      <c r="C421" s="1" t="s">
        <v>23</v>
      </c>
      <c r="D421" s="1">
        <v>3480</v>
      </c>
      <c r="E421" s="1">
        <v>3260</v>
      </c>
      <c r="F421" s="1">
        <v>2790</v>
      </c>
      <c r="G421" s="1">
        <v>431620</v>
      </c>
    </row>
    <row r="422" spans="1:7" x14ac:dyDescent="0.25">
      <c r="A422" s="1" t="s">
        <v>637</v>
      </c>
      <c r="B422" s="2" t="str">
        <f>HYPERLINK("https://www.elsevier.com/locate/issn/2058-5349", "BJA Education")</f>
        <v>BJA Education</v>
      </c>
      <c r="C422" s="1" t="s">
        <v>10</v>
      </c>
      <c r="D422" s="1">
        <v>3630</v>
      </c>
      <c r="E422" s="1">
        <v>3400</v>
      </c>
      <c r="F422" s="1">
        <v>2910</v>
      </c>
      <c r="G422" s="1">
        <v>450230</v>
      </c>
    </row>
    <row r="423" spans="1:7" x14ac:dyDescent="0.25">
      <c r="A423" s="1" t="s">
        <v>638</v>
      </c>
      <c r="B423" s="2" t="str">
        <f>HYPERLINK("https://www.elsevier.com/locate/issn/2772-6096", "BJA Open")</f>
        <v>BJA Open</v>
      </c>
      <c r="C423" s="1" t="s">
        <v>23</v>
      </c>
      <c r="D423" s="1">
        <v>1870</v>
      </c>
      <c r="E423" s="1">
        <v>1750</v>
      </c>
      <c r="F423" s="1">
        <v>1500</v>
      </c>
      <c r="G423" s="1">
        <v>231940</v>
      </c>
    </row>
    <row r="424" spans="1:7" x14ac:dyDescent="0.25">
      <c r="A424" s="1" t="s">
        <v>639</v>
      </c>
      <c r="B424" s="2" t="str">
        <f>HYPERLINK("https://www.elsevier.com/locate/issn/2096-7209", "Blockchain: Research and Applications")</f>
        <v>Blockchain: Research and Applications</v>
      </c>
      <c r="C424" s="1" t="s">
        <v>23</v>
      </c>
      <c r="D424" s="1">
        <v>1600</v>
      </c>
      <c r="E424" s="1">
        <v>1500</v>
      </c>
      <c r="F424" s="1">
        <v>1280</v>
      </c>
      <c r="G424" s="1">
        <v>198450</v>
      </c>
    </row>
    <row r="425" spans="1:7" x14ac:dyDescent="0.25">
      <c r="A425" s="1" t="s">
        <v>640</v>
      </c>
      <c r="B425" s="2" t="str">
        <f>HYPERLINK("https://www.elsevier.com/locate/issn/0006-4971", "Blood")</f>
        <v>Blood</v>
      </c>
      <c r="C425" s="1" t="s">
        <v>10</v>
      </c>
      <c r="D425" s="1">
        <v>5500</v>
      </c>
      <c r="E425" s="1">
        <v>5150</v>
      </c>
      <c r="F425" s="1">
        <v>4400</v>
      </c>
      <c r="G425" s="1">
        <v>682170</v>
      </c>
    </row>
    <row r="426" spans="1:7" x14ac:dyDescent="0.25">
      <c r="A426" s="1" t="s">
        <v>641</v>
      </c>
      <c r="B426" s="2" t="str">
        <f>HYPERLINK("https://www.elsevier.com/locate/issn/2473-9529", "Blood Advances")</f>
        <v>Blood Advances</v>
      </c>
      <c r="C426" s="1" t="s">
        <v>23</v>
      </c>
      <c r="D426" s="1">
        <v>3800</v>
      </c>
      <c r="E426" s="1">
        <v>3550</v>
      </c>
      <c r="F426" s="1">
        <v>3040</v>
      </c>
      <c r="G426" s="1">
        <v>471310</v>
      </c>
    </row>
    <row r="427" spans="1:7" x14ac:dyDescent="0.25">
      <c r="A427" s="1" t="s">
        <v>642</v>
      </c>
      <c r="B427" s="2" t="str">
        <f>HYPERLINK("https://www.elsevier.com/locate/issn/3050-5658", "Blood Global Hematology")</f>
        <v>Blood Global Hematology</v>
      </c>
      <c r="C427" s="1" t="s">
        <v>23</v>
      </c>
      <c r="D427" s="1">
        <v>3000</v>
      </c>
      <c r="E427" s="1">
        <v>2810</v>
      </c>
      <c r="F427" s="1">
        <v>2400</v>
      </c>
      <c r="G427" s="1">
        <v>372090</v>
      </c>
    </row>
    <row r="428" spans="1:7" x14ac:dyDescent="0.25">
      <c r="A428" s="1" t="s">
        <v>643</v>
      </c>
      <c r="B428" s="2" t="str">
        <f>HYPERLINK("https://www.elsevier.com/locate/issn/3050-5976", "Blood Immunology &amp; Cellular Therapy")</f>
        <v>Blood Immunology &amp; Cellular Therapy</v>
      </c>
      <c r="C428" s="1" t="s">
        <v>23</v>
      </c>
      <c r="D428" s="1">
        <v>3000</v>
      </c>
      <c r="E428" s="1">
        <v>2810</v>
      </c>
      <c r="F428" s="1">
        <v>2400</v>
      </c>
      <c r="G428" s="1">
        <v>372090</v>
      </c>
    </row>
    <row r="429" spans="1:7" x14ac:dyDescent="0.25">
      <c r="A429" s="1" t="s">
        <v>644</v>
      </c>
      <c r="B429" s="2" t="str">
        <f>HYPERLINK("https://www.elsevier.com/locate/issn/2950-3280", "Blood Neoplasia")</f>
        <v>Blood Neoplasia</v>
      </c>
      <c r="C429" s="1" t="s">
        <v>23</v>
      </c>
      <c r="D429" s="1">
        <v>3000</v>
      </c>
      <c r="E429" s="1">
        <v>2810</v>
      </c>
      <c r="F429" s="1">
        <v>2400</v>
      </c>
      <c r="G429" s="1">
        <v>372090</v>
      </c>
    </row>
    <row r="430" spans="1:7" x14ac:dyDescent="0.25">
      <c r="A430" s="1" t="s">
        <v>645</v>
      </c>
      <c r="B430" s="2" t="str">
        <f>HYPERLINK("https://www.elsevier.com/locate/issn/3050-5984", "Blood Red Cells &amp; Iron")</f>
        <v>Blood Red Cells &amp; Iron</v>
      </c>
      <c r="C430" s="1" t="s">
        <v>23</v>
      </c>
      <c r="D430" s="1">
        <v>3000</v>
      </c>
      <c r="E430" s="1">
        <v>2810</v>
      </c>
      <c r="F430" s="1">
        <v>2400</v>
      </c>
      <c r="G430" s="1">
        <v>372090</v>
      </c>
    </row>
    <row r="431" spans="1:7" x14ac:dyDescent="0.25">
      <c r="A431" s="1" t="s">
        <v>646</v>
      </c>
      <c r="B431" s="2" t="str">
        <f>HYPERLINK("https://www.elsevier.com/locate/issn/0268-960X", "Blood Reviews")</f>
        <v>Blood Reviews</v>
      </c>
      <c r="C431" s="1" t="s">
        <v>10</v>
      </c>
      <c r="D431" s="1">
        <v>5220</v>
      </c>
      <c r="E431" s="1">
        <v>4880</v>
      </c>
      <c r="F431" s="1">
        <v>4180</v>
      </c>
      <c r="G431" s="1">
        <v>647440</v>
      </c>
    </row>
    <row r="432" spans="1:7" x14ac:dyDescent="0.25">
      <c r="A432" s="1" t="s">
        <v>647</v>
      </c>
      <c r="B432" s="2" t="str">
        <f>HYPERLINK("https://www.elsevier.com/locate/issn/1740-1445", "Body Image")</f>
        <v>Body Image</v>
      </c>
      <c r="C432" s="1" t="s">
        <v>10</v>
      </c>
      <c r="D432" s="1">
        <v>4250</v>
      </c>
      <c r="E432" s="1">
        <v>3980</v>
      </c>
      <c r="F432" s="1">
        <v>3400</v>
      </c>
      <c r="G432" s="1">
        <v>527130</v>
      </c>
    </row>
    <row r="433" spans="1:7" x14ac:dyDescent="0.25">
      <c r="A433" s="1" t="s">
        <v>648</v>
      </c>
      <c r="B433" s="2" t="str">
        <f>HYPERLINK("https://www.elsevier.com/locate/issn/0366-3175", "Boletín de la Sociedad Española de Cerámica y Vidrio")</f>
        <v>Boletín de la Sociedad Española de Cerámica y Vidrio</v>
      </c>
      <c r="C433" s="1" t="s">
        <v>23</v>
      </c>
      <c r="D433" s="1">
        <v>1100</v>
      </c>
      <c r="E433" s="1">
        <v>1030</v>
      </c>
      <c r="F433" s="1">
        <v>880</v>
      </c>
      <c r="G433" s="1">
        <v>136430</v>
      </c>
    </row>
    <row r="434" spans="1:7" x14ac:dyDescent="0.25">
      <c r="A434" s="1" t="s">
        <v>649</v>
      </c>
      <c r="B434" s="2" t="str">
        <f>HYPERLINK("https://www.elsevier.com/locate/issn/8756-3282", "Bone")</f>
        <v>Bone</v>
      </c>
      <c r="C434" s="1" t="s">
        <v>10</v>
      </c>
      <c r="D434" s="1">
        <v>3960</v>
      </c>
      <c r="E434" s="1">
        <v>3700</v>
      </c>
      <c r="F434" s="1">
        <v>3170</v>
      </c>
      <c r="G434" s="1">
        <v>491160</v>
      </c>
    </row>
    <row r="435" spans="1:7" x14ac:dyDescent="0.25">
      <c r="A435" s="1" t="s">
        <v>650</v>
      </c>
      <c r="B435" s="2" t="str">
        <f>HYPERLINK("https://www.elsevier.com/locate/issn/2352-1872", "Bone Reports")</f>
        <v>Bone Reports</v>
      </c>
      <c r="C435" s="1" t="s">
        <v>23</v>
      </c>
      <c r="D435" s="1">
        <v>2540</v>
      </c>
      <c r="E435" s="1">
        <v>2380</v>
      </c>
      <c r="F435" s="1">
        <v>2030</v>
      </c>
      <c r="G435" s="1">
        <v>315040</v>
      </c>
    </row>
    <row r="436" spans="1:7" x14ac:dyDescent="0.25">
      <c r="A436" s="1" t="s">
        <v>651</v>
      </c>
      <c r="B436" s="2" t="str">
        <f>HYPERLINK("https://www.elsevier.com/locate/issn/2214-8450", "Borsa Istanbul Review")</f>
        <v>Borsa Istanbul Review</v>
      </c>
      <c r="C436" s="1" t="s">
        <v>23</v>
      </c>
      <c r="D436" s="1">
        <v>1500</v>
      </c>
      <c r="E436" s="1">
        <v>1400</v>
      </c>
      <c r="F436" s="1">
        <v>1200</v>
      </c>
      <c r="G436" s="1">
        <v>186050</v>
      </c>
    </row>
    <row r="437" spans="1:7" x14ac:dyDescent="0.25">
      <c r="A437" s="1" t="s">
        <v>652</v>
      </c>
      <c r="B437" s="2" t="str">
        <f>HYPERLINK("https://www.elsevier.com/locate/issn/1538-4721", "Brachytherapy")</f>
        <v>Brachytherapy</v>
      </c>
      <c r="C437" s="1" t="s">
        <v>10</v>
      </c>
      <c r="D437" s="1">
        <v>3000</v>
      </c>
      <c r="E437" s="1">
        <v>2810</v>
      </c>
      <c r="F437" s="1">
        <v>2400</v>
      </c>
      <c r="G437" s="1">
        <v>372090</v>
      </c>
    </row>
    <row r="438" spans="1:7" x14ac:dyDescent="0.25">
      <c r="A438" s="1" t="s">
        <v>653</v>
      </c>
      <c r="B438" s="2" t="str">
        <f>HYPERLINK("https://www.elsevier.com/locate/issn/0387-7604", "Brain and Development")</f>
        <v>Brain and Development</v>
      </c>
      <c r="C438" s="1" t="s">
        <v>10</v>
      </c>
      <c r="D438" s="1">
        <v>2810</v>
      </c>
      <c r="E438" s="1">
        <v>2630</v>
      </c>
      <c r="F438" s="1">
        <v>2250</v>
      </c>
      <c r="G438" s="1">
        <v>348520</v>
      </c>
    </row>
    <row r="439" spans="1:7" x14ac:dyDescent="0.25">
      <c r="A439" s="1" t="s">
        <v>654</v>
      </c>
      <c r="B439" s="2" t="str">
        <f>HYPERLINK("https://www.elsevier.com/locate/issn/0278-2626", "Brain and Cognition")</f>
        <v>Brain and Cognition</v>
      </c>
      <c r="C439" s="1" t="s">
        <v>10</v>
      </c>
      <c r="D439" s="1">
        <v>3180</v>
      </c>
      <c r="E439" s="1">
        <v>2970</v>
      </c>
      <c r="F439" s="1">
        <v>2550</v>
      </c>
      <c r="G439" s="1">
        <v>394420</v>
      </c>
    </row>
    <row r="440" spans="1:7" x14ac:dyDescent="0.25">
      <c r="A440" s="1" t="s">
        <v>655</v>
      </c>
      <c r="B440" s="2" t="str">
        <f>HYPERLINK("https://www.elsevier.com/locate/issn/2950-2217", "Brain and Development Case Reports")</f>
        <v>Brain and Development Case Reports</v>
      </c>
      <c r="C440" s="1" t="s">
        <v>23</v>
      </c>
      <c r="D440" s="1">
        <v>800</v>
      </c>
      <c r="E440" s="1">
        <v>750</v>
      </c>
      <c r="F440" s="1">
        <v>640</v>
      </c>
      <c r="G440" s="1">
        <v>99220</v>
      </c>
    </row>
    <row r="441" spans="1:7" x14ac:dyDescent="0.25">
      <c r="A441" s="1" t="s">
        <v>656</v>
      </c>
      <c r="B441" s="2" t="str">
        <f>HYPERLINK("https://www.elsevier.com/locate/issn/3050-5917", "Brain and Environment")</f>
        <v>Brain and Environment</v>
      </c>
      <c r="C441" s="1" t="s">
        <v>23</v>
      </c>
      <c r="D441" s="1">
        <v>3000</v>
      </c>
      <c r="E441" s="1">
        <v>2810</v>
      </c>
      <c r="F441" s="1">
        <v>2400</v>
      </c>
      <c r="G441" s="1">
        <v>372090</v>
      </c>
    </row>
    <row r="442" spans="1:7" x14ac:dyDescent="0.25">
      <c r="A442" s="1" t="s">
        <v>657</v>
      </c>
      <c r="B442" s="2" t="str">
        <f>HYPERLINK("https://www.elsevier.com/locate/issn/0093-934X", "Brain and Language")</f>
        <v>Brain and Language</v>
      </c>
      <c r="C442" s="1" t="s">
        <v>10</v>
      </c>
      <c r="D442" s="1">
        <v>3170</v>
      </c>
      <c r="E442" s="1">
        <v>2970</v>
      </c>
      <c r="F442" s="1">
        <v>2540</v>
      </c>
      <c r="G442" s="1">
        <v>393180</v>
      </c>
    </row>
    <row r="443" spans="1:7" x14ac:dyDescent="0.25">
      <c r="A443" s="1" t="s">
        <v>658</v>
      </c>
      <c r="B443" s="2" t="str">
        <f>HYPERLINK("https://www.elsevier.com/locate/issn/2772-5294", "Brain and Spine")</f>
        <v>Brain and Spine</v>
      </c>
      <c r="C443" s="1" t="s">
        <v>23</v>
      </c>
      <c r="D443" s="1">
        <v>1950</v>
      </c>
      <c r="E443" s="1">
        <v>1820</v>
      </c>
      <c r="F443" s="1">
        <v>1560</v>
      </c>
      <c r="G443" s="1">
        <v>241860</v>
      </c>
    </row>
    <row r="444" spans="1:7" x14ac:dyDescent="0.25">
      <c r="A444" s="1" t="s">
        <v>659</v>
      </c>
      <c r="B444" s="2" t="str">
        <f>HYPERLINK("https://www.elsevier.com/locate/issn/2949-8341", "Brain Behavior and Immunity Integrative")</f>
        <v>Brain Behavior and Immunity Integrative</v>
      </c>
      <c r="C444" s="1" t="s">
        <v>23</v>
      </c>
      <c r="D444" s="1">
        <v>2570</v>
      </c>
      <c r="E444" s="1">
        <v>2400</v>
      </c>
      <c r="F444" s="1">
        <v>2060</v>
      </c>
      <c r="G444" s="1">
        <v>318760</v>
      </c>
    </row>
    <row r="445" spans="1:7" x14ac:dyDescent="0.25">
      <c r="A445" s="1" t="s">
        <v>660</v>
      </c>
      <c r="B445" s="2" t="str">
        <f>HYPERLINK("https://www.elsevier.com/locate/issn/2666-4593", "Brain Disorders")</f>
        <v>Brain Disorders</v>
      </c>
      <c r="C445" s="1" t="s">
        <v>23</v>
      </c>
      <c r="D445" s="1">
        <v>1810</v>
      </c>
      <c r="E445" s="1">
        <v>1690</v>
      </c>
      <c r="F445" s="1">
        <v>1450</v>
      </c>
      <c r="G445" s="1">
        <v>224490</v>
      </c>
    </row>
    <row r="446" spans="1:7" x14ac:dyDescent="0.25">
      <c r="A446" s="1" t="s">
        <v>661</v>
      </c>
      <c r="B446" s="2" t="str">
        <f>HYPERLINK("https://www.elsevier.com/locate/issn/2589-238X", "Brain Hemorrhages")</f>
        <v>Brain Hemorrhages</v>
      </c>
      <c r="C446" s="1" t="s">
        <v>34</v>
      </c>
      <c r="D446" s="1" t="s">
        <v>324</v>
      </c>
      <c r="E446" s="1" t="s">
        <v>324</v>
      </c>
      <c r="F446" s="1" t="s">
        <v>324</v>
      </c>
      <c r="G446" s="1" t="s">
        <v>324</v>
      </c>
    </row>
    <row r="447" spans="1:7" x14ac:dyDescent="0.25">
      <c r="A447" s="1" t="s">
        <v>662</v>
      </c>
      <c r="B447" s="2" t="str">
        <f>HYPERLINK("https://www.elsevier.com/locate/issn/3050-6425", "Brain Mechanisms")</f>
        <v>Brain Mechanisms</v>
      </c>
      <c r="C447" s="1" t="s">
        <v>10</v>
      </c>
      <c r="D447" s="1">
        <v>3580</v>
      </c>
      <c r="E447" s="1">
        <v>3350</v>
      </c>
      <c r="F447" s="1">
        <v>2870</v>
      </c>
      <c r="G447" s="1">
        <v>444030</v>
      </c>
    </row>
    <row r="448" spans="1:7" x14ac:dyDescent="0.25">
      <c r="A448" s="1" t="s">
        <v>663</v>
      </c>
      <c r="B448" s="2" t="str">
        <f>HYPERLINK("https://www.elsevier.com/locate/issn/2666-5220", "Brain Multiphysics")</f>
        <v>Brain Multiphysics</v>
      </c>
      <c r="C448" s="1" t="s">
        <v>23</v>
      </c>
      <c r="D448" s="1">
        <v>2250</v>
      </c>
      <c r="E448" s="1">
        <v>2100</v>
      </c>
      <c r="F448" s="1">
        <v>1800</v>
      </c>
      <c r="G448" s="1">
        <v>279070</v>
      </c>
    </row>
    <row r="449" spans="1:7" x14ac:dyDescent="0.25">
      <c r="A449" s="1" t="s">
        <v>664</v>
      </c>
      <c r="B449" s="2" t="str">
        <f>HYPERLINK("https://www.elsevier.com/locate/issn/3050-6239", "Brain Network Disorders")</f>
        <v>Brain Network Disorders</v>
      </c>
      <c r="C449" s="1" t="s">
        <v>23</v>
      </c>
      <c r="D449" s="1">
        <v>2000</v>
      </c>
      <c r="E449" s="1">
        <v>1870</v>
      </c>
      <c r="F449" s="1">
        <v>1600</v>
      </c>
      <c r="G449" s="1">
        <v>248060</v>
      </c>
    </row>
    <row r="450" spans="1:7" x14ac:dyDescent="0.25">
      <c r="A450" s="1" t="s">
        <v>665</v>
      </c>
      <c r="B450" s="2" t="str">
        <f>HYPERLINK("https://www.elsevier.com/locate/issn/2949-9216", "Brain Organoid and Systems Neuroscience Journal")</f>
        <v>Brain Organoid and Systems Neuroscience Journal</v>
      </c>
      <c r="C450" s="1" t="s">
        <v>23</v>
      </c>
      <c r="D450" s="1">
        <v>2190</v>
      </c>
      <c r="E450" s="1">
        <v>2050</v>
      </c>
      <c r="F450" s="1">
        <v>1760</v>
      </c>
      <c r="G450" s="1">
        <v>271630</v>
      </c>
    </row>
    <row r="451" spans="1:7" x14ac:dyDescent="0.25">
      <c r="A451" s="1" t="s">
        <v>666</v>
      </c>
      <c r="B451" s="2" t="str">
        <f>HYPERLINK("https://www.elsevier.com/locate/issn/0006-8993", "Brain Research")</f>
        <v>Brain Research</v>
      </c>
      <c r="C451" s="1" t="s">
        <v>10</v>
      </c>
      <c r="D451" s="1">
        <v>3360</v>
      </c>
      <c r="E451" s="1">
        <v>3140</v>
      </c>
      <c r="F451" s="1">
        <v>2690</v>
      </c>
      <c r="G451" s="1">
        <v>416740</v>
      </c>
    </row>
    <row r="452" spans="1:7" x14ac:dyDescent="0.25">
      <c r="A452" s="1" t="s">
        <v>667</v>
      </c>
      <c r="B452" s="2" t="str">
        <f>HYPERLINK("https://www.elsevier.com/locate/issn/0361-9230", "Brain Research Bulletin")</f>
        <v>Brain Research Bulletin</v>
      </c>
      <c r="C452" s="1" t="s">
        <v>23</v>
      </c>
      <c r="D452" s="1">
        <v>3280</v>
      </c>
      <c r="E452" s="1">
        <v>3070</v>
      </c>
      <c r="F452" s="1">
        <v>2630</v>
      </c>
      <c r="G452" s="1">
        <v>406820</v>
      </c>
    </row>
    <row r="453" spans="1:7" x14ac:dyDescent="0.25">
      <c r="A453" s="1" t="s">
        <v>668</v>
      </c>
      <c r="B453" s="2" t="str">
        <f>HYPERLINK("https://www.elsevier.com/locate/issn/1935-861X", "Brain Stimulation")</f>
        <v>Brain Stimulation</v>
      </c>
      <c r="C453" s="1" t="s">
        <v>23</v>
      </c>
      <c r="D453" s="1">
        <v>4430</v>
      </c>
      <c r="E453" s="1">
        <v>4140</v>
      </c>
      <c r="F453" s="1">
        <v>3550</v>
      </c>
      <c r="G453" s="1">
        <v>549450</v>
      </c>
    </row>
    <row r="454" spans="1:7" x14ac:dyDescent="0.25">
      <c r="A454" s="1" t="s">
        <v>669</v>
      </c>
      <c r="B454" s="2" t="str">
        <f>HYPERLINK("https://www.elsevier.com/locate/issn/0104-0014", "Brazilian Journal of Anesthesiology (English Edition)")</f>
        <v>Brazilian Journal of Anesthesiology (English Edition)</v>
      </c>
      <c r="C454" s="1" t="s">
        <v>34</v>
      </c>
      <c r="D454" s="1" t="s">
        <v>324</v>
      </c>
      <c r="E454" s="1" t="s">
        <v>324</v>
      </c>
      <c r="F454" s="1" t="s">
        <v>324</v>
      </c>
      <c r="G454" s="1" t="s">
        <v>324</v>
      </c>
    </row>
    <row r="455" spans="1:7" x14ac:dyDescent="0.25">
      <c r="A455" s="1" t="s">
        <v>670</v>
      </c>
      <c r="B455" s="2" t="str">
        <f>HYPERLINK("https://www.elsevier.com/locate/issn/1808-8694", "Brazilian Journal of Otorhinolaryngology")</f>
        <v>Brazilian Journal of Otorhinolaryngology</v>
      </c>
      <c r="C455" s="1" t="s">
        <v>23</v>
      </c>
      <c r="D455" s="1">
        <v>2070</v>
      </c>
      <c r="E455" s="1">
        <v>1940</v>
      </c>
      <c r="F455" s="1">
        <v>1660</v>
      </c>
      <c r="G455" s="1">
        <v>256740</v>
      </c>
    </row>
    <row r="456" spans="1:7" x14ac:dyDescent="0.25">
      <c r="A456" s="1" t="s">
        <v>671</v>
      </c>
      <c r="B456" s="2" t="str">
        <f>HYPERLINK("https://www.elsevier.com/locate/issn/1413-3555", "Brazilian Journal of Physical Therapy")</f>
        <v>Brazilian Journal of Physical Therapy</v>
      </c>
      <c r="C456" s="1" t="s">
        <v>10</v>
      </c>
      <c r="D456" s="1">
        <v>3400</v>
      </c>
      <c r="E456" s="1">
        <v>3180</v>
      </c>
      <c r="F456" s="1">
        <v>2720</v>
      </c>
      <c r="G456" s="1">
        <v>421700</v>
      </c>
    </row>
    <row r="457" spans="1:7" x14ac:dyDescent="0.25">
      <c r="A457" s="1" t="s">
        <v>672</v>
      </c>
      <c r="B457" s="2" t="str">
        <f>HYPERLINK("https://www.elsevier.com/locate/issn/0007-0912", "British Journal of Anaesthesia")</f>
        <v>British Journal of Anaesthesia</v>
      </c>
      <c r="C457" s="1" t="s">
        <v>10</v>
      </c>
      <c r="D457" s="1">
        <v>4450</v>
      </c>
      <c r="E457" s="1">
        <v>4160</v>
      </c>
      <c r="F457" s="1">
        <v>3560</v>
      </c>
      <c r="G457" s="1">
        <v>551930</v>
      </c>
    </row>
    <row r="458" spans="1:7" x14ac:dyDescent="0.25">
      <c r="A458" s="1" t="s">
        <v>673</v>
      </c>
      <c r="B458" s="2" t="str">
        <f>HYPERLINK("https://www.elsevier.com/locate/issn/0266-4356", "British Journal of Oral and Maxillofacial Surgery")</f>
        <v>British Journal of Oral and Maxillofacial Surgery</v>
      </c>
      <c r="C458" s="1" t="s">
        <v>10</v>
      </c>
      <c r="D458" s="1">
        <v>3300</v>
      </c>
      <c r="E458" s="1">
        <v>3090</v>
      </c>
      <c r="F458" s="1">
        <v>2640</v>
      </c>
      <c r="G458" s="1">
        <v>409300</v>
      </c>
    </row>
    <row r="459" spans="1:7" x14ac:dyDescent="0.25">
      <c r="A459" s="1" t="s">
        <v>674</v>
      </c>
      <c r="B459" s="2" t="str">
        <f>HYPERLINK("https://www.elsevier.com/locate/issn/0360-1323", "Building and Environment")</f>
        <v>Building and Environment</v>
      </c>
      <c r="C459" s="1" t="s">
        <v>10</v>
      </c>
      <c r="D459" s="1">
        <v>4280</v>
      </c>
      <c r="E459" s="1">
        <v>4000</v>
      </c>
      <c r="F459" s="1">
        <v>3430</v>
      </c>
      <c r="G459" s="1">
        <v>530850</v>
      </c>
    </row>
    <row r="460" spans="1:7" x14ac:dyDescent="0.25">
      <c r="A460" s="1" t="s">
        <v>675</v>
      </c>
      <c r="B460" s="2" t="str">
        <f>HYPERLINK("https://www.elsevier.com/locate/issn/0007-4497", "Bulletin des Sciences Mathématiques")</f>
        <v>Bulletin des Sciences Mathématiques</v>
      </c>
      <c r="C460" s="1" t="s">
        <v>10</v>
      </c>
      <c r="D460" s="1">
        <v>2690</v>
      </c>
      <c r="E460" s="1">
        <v>2520</v>
      </c>
      <c r="F460" s="1">
        <v>2150</v>
      </c>
      <c r="G460" s="1">
        <v>333640</v>
      </c>
    </row>
    <row r="461" spans="1:7" x14ac:dyDescent="0.25">
      <c r="A461" s="1" t="s">
        <v>676</v>
      </c>
      <c r="B461" s="2" t="str">
        <f>HYPERLINK("https://www.elsevier.com/locate/issn/0007-4551", "Bulletin du Cancer")</f>
        <v>Bulletin du Cancer</v>
      </c>
      <c r="C461" s="1" t="s">
        <v>10</v>
      </c>
      <c r="D461" s="1">
        <v>1790</v>
      </c>
      <c r="E461" s="1">
        <v>1630</v>
      </c>
      <c r="F461" s="1">
        <v>1430</v>
      </c>
      <c r="G461" s="1">
        <v>222010</v>
      </c>
    </row>
    <row r="462" spans="1:7" x14ac:dyDescent="0.25">
      <c r="A462" s="1" t="s">
        <v>677</v>
      </c>
      <c r="B462" s="2" t="str">
        <f>HYPERLINK("https://www.elsevier.com/locate/issn/0305-4179", "Burns")</f>
        <v>Burns</v>
      </c>
      <c r="C462" s="1" t="s">
        <v>10</v>
      </c>
      <c r="D462" s="1">
        <v>3190</v>
      </c>
      <c r="E462" s="1">
        <v>2980</v>
      </c>
      <c r="F462" s="1">
        <v>2550</v>
      </c>
      <c r="G462" s="1">
        <v>395660</v>
      </c>
    </row>
    <row r="463" spans="1:7" x14ac:dyDescent="0.25">
      <c r="A463" s="1" t="s">
        <v>678</v>
      </c>
      <c r="B463" s="2" t="str">
        <f>HYPERLINK("https://www.elsevier.com/locate/issn/2468-9122", "Burns Open")</f>
        <v>Burns Open</v>
      </c>
      <c r="C463" s="1" t="s">
        <v>23</v>
      </c>
      <c r="D463" s="1">
        <v>1720</v>
      </c>
      <c r="E463" s="1">
        <v>1610</v>
      </c>
      <c r="F463" s="1">
        <v>1380</v>
      </c>
      <c r="G463" s="1">
        <v>213330</v>
      </c>
    </row>
    <row r="464" spans="1:7" x14ac:dyDescent="0.25">
      <c r="A464" s="1" t="s">
        <v>679</v>
      </c>
      <c r="B464" s="2" t="str">
        <f>HYPERLINK("https://www.elsevier.com/locate/issn/0007-6813", "Business Horizons")</f>
        <v>Business Horizons</v>
      </c>
      <c r="C464" s="1" t="s">
        <v>10</v>
      </c>
      <c r="D464" s="1">
        <v>3410</v>
      </c>
      <c r="E464" s="1">
        <v>3190</v>
      </c>
      <c r="F464" s="1">
        <v>2730</v>
      </c>
      <c r="G464" s="1">
        <v>422940</v>
      </c>
    </row>
    <row r="465" spans="1:7" x14ac:dyDescent="0.25">
      <c r="A465" s="1" t="s">
        <v>680</v>
      </c>
      <c r="B465" s="2" t="str">
        <f>HYPERLINK("https://www.elsevier.com/locate/issn/0007-9960", "Cahiers de Nutrition et de Diététique")</f>
        <v>Cahiers de Nutrition et de Diététique</v>
      </c>
      <c r="C465" s="1" t="s">
        <v>10</v>
      </c>
      <c r="D465" s="1">
        <v>2090</v>
      </c>
      <c r="E465" s="1">
        <v>1910</v>
      </c>
      <c r="F465" s="1">
        <v>1680</v>
      </c>
      <c r="G465" s="1">
        <v>259220</v>
      </c>
    </row>
    <row r="466" spans="1:7" x14ac:dyDescent="0.25">
      <c r="A466" s="1" t="s">
        <v>681</v>
      </c>
      <c r="B466" s="2" t="str">
        <f>HYPERLINK("https://www.elsevier.com/locate/issn/0364-5916", "Calphad")</f>
        <v>Calphad</v>
      </c>
      <c r="C466" s="1" t="s">
        <v>10</v>
      </c>
      <c r="D466" s="1">
        <v>3250</v>
      </c>
      <c r="E466" s="1">
        <v>3040</v>
      </c>
      <c r="F466" s="1">
        <v>2600</v>
      </c>
      <c r="G466" s="1">
        <v>403100</v>
      </c>
    </row>
    <row r="467" spans="1:7" x14ac:dyDescent="0.25">
      <c r="A467" s="1" t="s">
        <v>682</v>
      </c>
      <c r="B467" s="2" t="str">
        <f>HYPERLINK("https://www.elsevier.com/locate/issn/0828-282X", "Canadian Journal of Cardiology")</f>
        <v>Canadian Journal of Cardiology</v>
      </c>
      <c r="C467" s="1" t="s">
        <v>10</v>
      </c>
      <c r="D467" s="1">
        <v>3710</v>
      </c>
      <c r="E467" s="1">
        <v>3470</v>
      </c>
      <c r="F467" s="1">
        <v>2970</v>
      </c>
      <c r="G467" s="1">
        <v>460150</v>
      </c>
    </row>
    <row r="468" spans="1:7" x14ac:dyDescent="0.25">
      <c r="A468" s="1" t="s">
        <v>683</v>
      </c>
      <c r="B468" s="2" t="str">
        <f>HYPERLINK("https://www.elsevier.com/locate/issn/1499-2671", "Canadian Journal of Diabetes")</f>
        <v>Canadian Journal of Diabetes</v>
      </c>
      <c r="C468" s="1" t="s">
        <v>10</v>
      </c>
      <c r="D468" s="1">
        <v>3300</v>
      </c>
      <c r="E468" s="1">
        <v>3090</v>
      </c>
      <c r="F468" s="1">
        <v>2640</v>
      </c>
      <c r="G468" s="1">
        <v>409300</v>
      </c>
    </row>
    <row r="469" spans="1:7" x14ac:dyDescent="0.25">
      <c r="A469" s="1" t="s">
        <v>684</v>
      </c>
      <c r="B469" s="2" t="str">
        <f>HYPERLINK("https://www.elsevier.com/locate/issn/0008-4182", "Canadian Journal of Ophthalmology")</f>
        <v>Canadian Journal of Ophthalmology</v>
      </c>
      <c r="C469" s="1" t="s">
        <v>10</v>
      </c>
      <c r="D469" s="1">
        <v>3220</v>
      </c>
      <c r="E469" s="1">
        <v>3010</v>
      </c>
      <c r="F469" s="1">
        <v>2580</v>
      </c>
      <c r="G469" s="1">
        <v>399380</v>
      </c>
    </row>
    <row r="470" spans="1:7" x14ac:dyDescent="0.25">
      <c r="A470" s="1" t="s">
        <v>685</v>
      </c>
      <c r="B470" s="2" t="str">
        <f>HYPERLINK("https://www.elsevier.com/locate/issn/1535-6108", "Cancer Cell")</f>
        <v>Cancer Cell</v>
      </c>
      <c r="C470" s="1" t="s">
        <v>10</v>
      </c>
      <c r="D470" s="1">
        <v>10400</v>
      </c>
      <c r="E470" s="1">
        <v>9640</v>
      </c>
      <c r="F470" s="1">
        <v>8330</v>
      </c>
      <c r="G470" s="1">
        <v>1289910</v>
      </c>
    </row>
    <row r="471" spans="1:7" x14ac:dyDescent="0.25">
      <c r="A471" s="1" t="s">
        <v>686</v>
      </c>
      <c r="B471" s="2" t="str">
        <f>HYPERLINK("https://www.elsevier.com/locate/issn/1877-7821", "Cancer Epidemiology")</f>
        <v>Cancer Epidemiology</v>
      </c>
      <c r="C471" s="1" t="s">
        <v>10</v>
      </c>
      <c r="D471" s="1">
        <v>3740</v>
      </c>
      <c r="E471" s="1">
        <v>3500</v>
      </c>
      <c r="F471" s="1">
        <v>2990</v>
      </c>
      <c r="G471" s="1">
        <v>463870</v>
      </c>
    </row>
    <row r="472" spans="1:7" x14ac:dyDescent="0.25">
      <c r="A472" s="1" t="s">
        <v>687</v>
      </c>
      <c r="B472" s="2" t="str">
        <f>HYPERLINK("https://www.elsevier.com/locate/issn/2210-7762", "Cancer Genetics")</f>
        <v>Cancer Genetics</v>
      </c>
      <c r="C472" s="1" t="s">
        <v>10</v>
      </c>
      <c r="D472" s="1">
        <v>3320</v>
      </c>
      <c r="E472" s="1">
        <v>3110</v>
      </c>
      <c r="F472" s="1">
        <v>2660</v>
      </c>
      <c r="G472" s="1">
        <v>411780</v>
      </c>
    </row>
    <row r="473" spans="1:7" x14ac:dyDescent="0.25">
      <c r="A473" s="1" t="s">
        <v>688</v>
      </c>
      <c r="B473" s="2" t="str">
        <f>HYPERLINK("https://www.elsevier.com/locate/issn/0304-3835", "Cancer Letters")</f>
        <v>Cancer Letters</v>
      </c>
      <c r="C473" s="1" t="s">
        <v>10</v>
      </c>
      <c r="D473" s="1">
        <v>4960</v>
      </c>
      <c r="E473" s="1">
        <v>4640</v>
      </c>
      <c r="F473" s="1">
        <v>3970</v>
      </c>
      <c r="G473" s="1">
        <v>615190</v>
      </c>
    </row>
    <row r="474" spans="1:7" x14ac:dyDescent="0.25">
      <c r="A474" s="1" t="s">
        <v>689</v>
      </c>
      <c r="B474" s="2" t="str">
        <f>HYPERLINK("https://www.elsevier.com/locate/issn/2949-7132", "Cancer Pathogenesis and Therapy")</f>
        <v>Cancer Pathogenesis and Therapy</v>
      </c>
      <c r="C474" s="1" t="s">
        <v>23</v>
      </c>
      <c r="D474" s="1">
        <v>1100</v>
      </c>
      <c r="E474" s="1">
        <v>1030</v>
      </c>
      <c r="F474" s="1">
        <v>880</v>
      </c>
      <c r="G474" s="1">
        <v>136430</v>
      </c>
    </row>
    <row r="475" spans="1:7" x14ac:dyDescent="0.25">
      <c r="A475" s="1" t="s">
        <v>690</v>
      </c>
      <c r="B475" s="2" t="str">
        <f>HYPERLINK("https://www.elsevier.com/locate/issn/1278-3218", "Cancer/Radiothérapie")</f>
        <v>Cancer/Radiothérapie</v>
      </c>
      <c r="C475" s="1" t="s">
        <v>10</v>
      </c>
      <c r="D475" s="1">
        <v>2190</v>
      </c>
      <c r="E475" s="1">
        <v>2000</v>
      </c>
      <c r="F475" s="1">
        <v>1760</v>
      </c>
      <c r="G475" s="1">
        <v>271630</v>
      </c>
    </row>
    <row r="476" spans="1:7" x14ac:dyDescent="0.25">
      <c r="A476" s="1" t="s">
        <v>691</v>
      </c>
      <c r="B476" s="2" t="str">
        <f>HYPERLINK("https://www.elsevier.com/locate/issn/2468-2942", "Cancer Treatment and Research Communications")</f>
        <v>Cancer Treatment and Research Communications</v>
      </c>
      <c r="C476" s="1" t="s">
        <v>23</v>
      </c>
      <c r="D476" s="1">
        <v>2740</v>
      </c>
      <c r="E476" s="1">
        <v>2560</v>
      </c>
      <c r="F476" s="1">
        <v>2190</v>
      </c>
      <c r="G476" s="1">
        <v>339840</v>
      </c>
    </row>
    <row r="477" spans="1:7" x14ac:dyDescent="0.25">
      <c r="A477" s="1" t="s">
        <v>692</v>
      </c>
      <c r="B477" s="2" t="str">
        <f>HYPERLINK("https://www.elsevier.com/locate/issn/0305-7372", "Cancer Treatment Reviews")</f>
        <v>Cancer Treatment Reviews</v>
      </c>
      <c r="C477" s="1" t="s">
        <v>10</v>
      </c>
      <c r="D477" s="1">
        <v>4910</v>
      </c>
      <c r="E477" s="1">
        <v>4590</v>
      </c>
      <c r="F477" s="1">
        <v>3930</v>
      </c>
      <c r="G477" s="1">
        <v>608990</v>
      </c>
    </row>
    <row r="478" spans="1:7" x14ac:dyDescent="0.25">
      <c r="A478" s="1" t="s">
        <v>693</v>
      </c>
      <c r="B478" s="2" t="str">
        <f>HYPERLINK("https://www.elsevier.com/locate/issn/2666-8939", "Carbohydrate Polymer Technologies and Applications")</f>
        <v>Carbohydrate Polymer Technologies and Applications</v>
      </c>
      <c r="C478" s="1" t="s">
        <v>23</v>
      </c>
      <c r="D478" s="1">
        <v>2600</v>
      </c>
      <c r="E478" s="1">
        <v>2430</v>
      </c>
      <c r="F478" s="1">
        <v>2080</v>
      </c>
      <c r="G478" s="1">
        <v>322480</v>
      </c>
    </row>
    <row r="479" spans="1:7" x14ac:dyDescent="0.25">
      <c r="A479" s="1" t="s">
        <v>694</v>
      </c>
      <c r="B479" s="2" t="str">
        <f>HYPERLINK("https://www.elsevier.com/locate/issn/0144-8617", "Carbohydrate Polymers")</f>
        <v>Carbohydrate Polymers</v>
      </c>
      <c r="C479" s="1" t="s">
        <v>10</v>
      </c>
      <c r="D479" s="1">
        <v>5340</v>
      </c>
      <c r="E479" s="1">
        <v>5000</v>
      </c>
      <c r="F479" s="1">
        <v>4280</v>
      </c>
      <c r="G479" s="1">
        <v>662320</v>
      </c>
    </row>
    <row r="480" spans="1:7" x14ac:dyDescent="0.25">
      <c r="A480" s="1" t="s">
        <v>695</v>
      </c>
      <c r="B480" s="2" t="str">
        <f>HYPERLINK("https://www.elsevier.com/locate/issn/0008-6215", "Carbohydrate Research")</f>
        <v>Carbohydrate Research</v>
      </c>
      <c r="C480" s="1" t="s">
        <v>10</v>
      </c>
      <c r="D480" s="1">
        <v>3800</v>
      </c>
      <c r="E480" s="1">
        <v>3550</v>
      </c>
      <c r="F480" s="1">
        <v>3040</v>
      </c>
      <c r="G480" s="1">
        <v>471310</v>
      </c>
    </row>
    <row r="481" spans="1:7" x14ac:dyDescent="0.25">
      <c r="A481" s="1" t="s">
        <v>696</v>
      </c>
      <c r="B481" s="2" t="str">
        <f>HYPERLINK("https://www.elsevier.com/locate/issn/0008-6223", "Carbon")</f>
        <v>Carbon</v>
      </c>
      <c r="C481" s="1" t="s">
        <v>10</v>
      </c>
      <c r="D481" s="1">
        <v>4830</v>
      </c>
      <c r="E481" s="1">
        <v>4520</v>
      </c>
      <c r="F481" s="1">
        <v>3870</v>
      </c>
      <c r="G481" s="1">
        <v>599060</v>
      </c>
    </row>
    <row r="482" spans="1:7" x14ac:dyDescent="0.25">
      <c r="A482" s="1" t="s">
        <v>697</v>
      </c>
      <c r="B482" s="2" t="str">
        <f>HYPERLINK("https://www.elsevier.com/locate/issn/2772-6568", "Carbon Capture Science &amp; Technology")</f>
        <v>Carbon Capture Science &amp; Technology</v>
      </c>
      <c r="C482" s="1" t="s">
        <v>23</v>
      </c>
      <c r="D482" s="1">
        <v>2000</v>
      </c>
      <c r="E482" s="1">
        <v>1870</v>
      </c>
      <c r="F482" s="1">
        <v>1600</v>
      </c>
      <c r="G482" s="1">
        <v>248060</v>
      </c>
    </row>
    <row r="483" spans="1:7" x14ac:dyDescent="0.25">
      <c r="A483" s="1" t="s">
        <v>698</v>
      </c>
      <c r="B483" s="2" t="str">
        <f>HYPERLINK("https://www.elsevier.com/locate/issn/3050-6603", "Carbon Neutral Technologies")</f>
        <v>Carbon Neutral Technologies</v>
      </c>
      <c r="C483" s="1" t="s">
        <v>23</v>
      </c>
      <c r="D483" s="1">
        <v>2200</v>
      </c>
      <c r="E483" s="1">
        <v>2060</v>
      </c>
      <c r="F483" s="1">
        <v>1760</v>
      </c>
      <c r="G483" s="1">
        <v>272870</v>
      </c>
    </row>
    <row r="484" spans="1:7" x14ac:dyDescent="0.25">
      <c r="A484" s="1" t="s">
        <v>699</v>
      </c>
      <c r="B484" s="2" t="str">
        <f>HYPERLINK("https://www.elsevier.com/locate/issn/2588-9133", "Carbon Resources Conversion")</f>
        <v>Carbon Resources Conversion</v>
      </c>
      <c r="C484" s="1" t="s">
        <v>34</v>
      </c>
      <c r="D484" s="1">
        <v>1100</v>
      </c>
      <c r="E484" s="1">
        <v>1030</v>
      </c>
      <c r="F484" s="1">
        <v>880</v>
      </c>
      <c r="G484" s="1">
        <v>136430</v>
      </c>
    </row>
    <row r="485" spans="1:7" x14ac:dyDescent="0.25">
      <c r="A485" s="1" t="s">
        <v>700</v>
      </c>
      <c r="B485" s="2" t="str">
        <f>HYPERLINK("https://www.elsevier.com/locate/issn/2667-0569", "Carbon Trends")</f>
        <v>Carbon Trends</v>
      </c>
      <c r="C485" s="1" t="s">
        <v>23</v>
      </c>
      <c r="D485" s="1">
        <v>2000</v>
      </c>
      <c r="E485" s="1">
        <v>1870</v>
      </c>
      <c r="F485" s="1">
        <v>1600</v>
      </c>
      <c r="G485" s="1">
        <v>248060</v>
      </c>
    </row>
    <row r="486" spans="1:7" x14ac:dyDescent="0.25">
      <c r="A486" s="1" t="s">
        <v>701</v>
      </c>
      <c r="B486" s="2" t="str">
        <f>HYPERLINK("https://www.elsevier.com/locate/issn/2666-6936", "Cardiovascular Digital Health Journal")</f>
        <v>Cardiovascular Digital Health Journal</v>
      </c>
      <c r="C486" s="1" t="s">
        <v>23</v>
      </c>
      <c r="D486" s="1">
        <v>2600</v>
      </c>
      <c r="E486" s="1">
        <v>2430</v>
      </c>
      <c r="F486" s="1">
        <v>2080</v>
      </c>
      <c r="G486" s="1">
        <v>322480</v>
      </c>
    </row>
    <row r="487" spans="1:7" x14ac:dyDescent="0.25">
      <c r="A487" s="1" t="s">
        <v>702</v>
      </c>
      <c r="B487" s="2" t="str">
        <f>HYPERLINK("https://www.elsevier.com/locate/issn/1054-8807", "Cardiovascular Pathology")</f>
        <v>Cardiovascular Pathology</v>
      </c>
      <c r="C487" s="1" t="s">
        <v>10</v>
      </c>
      <c r="D487" s="1">
        <v>4210</v>
      </c>
      <c r="E487" s="1">
        <v>3940</v>
      </c>
      <c r="F487" s="1">
        <v>3370</v>
      </c>
      <c r="G487" s="1">
        <v>522170</v>
      </c>
    </row>
    <row r="488" spans="1:7" x14ac:dyDescent="0.25">
      <c r="A488" s="1" t="s">
        <v>703</v>
      </c>
      <c r="B488" s="2" t="str">
        <f>HYPERLINK("https://www.elsevier.com/locate/issn/1553-8389", "Cardiovascular Revascularization Medicine")</f>
        <v>Cardiovascular Revascularization Medicine</v>
      </c>
      <c r="C488" s="1" t="s">
        <v>10</v>
      </c>
      <c r="D488" s="1">
        <v>3490</v>
      </c>
      <c r="E488" s="1">
        <v>3260</v>
      </c>
      <c r="F488" s="1">
        <v>2790</v>
      </c>
      <c r="G488" s="1">
        <v>432860</v>
      </c>
    </row>
    <row r="489" spans="1:7" x14ac:dyDescent="0.25">
      <c r="A489" s="1" t="s">
        <v>704</v>
      </c>
      <c r="B489" s="2" t="str">
        <f>HYPERLINK("https://www.elsevier.com/locate/issn/2950-2756", "Cardiovascular Revascularization Medicine: Interesting Cases")</f>
        <v>Cardiovascular Revascularization Medicine: Interesting Cases</v>
      </c>
      <c r="C489" s="1" t="s">
        <v>23</v>
      </c>
      <c r="D489" s="1">
        <v>920</v>
      </c>
      <c r="E489" s="1">
        <v>860</v>
      </c>
      <c r="F489" s="1">
        <v>740</v>
      </c>
      <c r="G489" s="1">
        <v>114110</v>
      </c>
    </row>
    <row r="490" spans="1:7" x14ac:dyDescent="0.25">
      <c r="A490" s="1" t="s">
        <v>705</v>
      </c>
      <c r="B490" s="2" t="str">
        <f>HYPERLINK("https://www.elsevier.com/locate/issn/2468-6441", "CASE")</f>
        <v>CASE</v>
      </c>
      <c r="C490" s="1" t="s">
        <v>23</v>
      </c>
      <c r="D490" s="1">
        <v>950</v>
      </c>
      <c r="E490" s="1">
        <v>890</v>
      </c>
      <c r="F490" s="1">
        <v>760</v>
      </c>
      <c r="G490" s="1">
        <v>117830</v>
      </c>
    </row>
    <row r="491" spans="1:7" x14ac:dyDescent="0.25">
      <c r="A491" s="1" t="s">
        <v>706</v>
      </c>
      <c r="B491" s="2" t="str">
        <f>HYPERLINK("https://www.elsevier.com/locate/issn/2214-9112", "Case Reports in Women's Health")</f>
        <v>Case Reports in Women's Health</v>
      </c>
      <c r="C491" s="1" t="s">
        <v>23</v>
      </c>
      <c r="D491" s="1">
        <v>1080</v>
      </c>
      <c r="E491" s="1">
        <v>1010</v>
      </c>
      <c r="F491" s="1">
        <v>860</v>
      </c>
      <c r="G491" s="1">
        <v>133950</v>
      </c>
    </row>
    <row r="492" spans="1:7" x14ac:dyDescent="0.25">
      <c r="A492" s="1" t="s">
        <v>707</v>
      </c>
      <c r="B492" s="2" t="str">
        <f>HYPERLINK("https://www.elsevier.com/locate/issn/2666-0164", "Case Studies in Chemical and Environmental Engineering")</f>
        <v>Case Studies in Chemical and Environmental Engineering</v>
      </c>
      <c r="C492" s="1" t="s">
        <v>23</v>
      </c>
      <c r="D492" s="1">
        <v>1030</v>
      </c>
      <c r="E492" s="1">
        <v>960</v>
      </c>
      <c r="F492" s="1">
        <v>820</v>
      </c>
      <c r="G492" s="1">
        <v>127750</v>
      </c>
    </row>
    <row r="493" spans="1:7" x14ac:dyDescent="0.25">
      <c r="A493" s="1" t="s">
        <v>708</v>
      </c>
      <c r="B493" s="2" t="str">
        <f>HYPERLINK("https://www.elsevier.com/locate/issn/2214-5095", "Case Studies in Construction Materials")</f>
        <v>Case Studies in Construction Materials</v>
      </c>
      <c r="C493" s="1" t="s">
        <v>23</v>
      </c>
      <c r="D493" s="1">
        <v>2490</v>
      </c>
      <c r="E493" s="1">
        <v>2330</v>
      </c>
      <c r="F493" s="1">
        <v>1990</v>
      </c>
      <c r="G493" s="1">
        <v>308830</v>
      </c>
    </row>
    <row r="494" spans="1:7" x14ac:dyDescent="0.25">
      <c r="A494" s="1" t="s">
        <v>709</v>
      </c>
      <c r="B494" s="2" t="str">
        <f>HYPERLINK("https://www.elsevier.com/locate/issn/2214-157X", "Case Studies in Thermal Engineering")</f>
        <v>Case Studies in Thermal Engineering</v>
      </c>
      <c r="C494" s="1" t="s">
        <v>23</v>
      </c>
      <c r="D494" s="1">
        <v>1470</v>
      </c>
      <c r="E494" s="1">
        <v>1380</v>
      </c>
      <c r="F494" s="1">
        <v>1180</v>
      </c>
      <c r="G494" s="1">
        <v>182320</v>
      </c>
    </row>
    <row r="495" spans="1:7" x14ac:dyDescent="0.25">
      <c r="A495" s="1" t="s">
        <v>710</v>
      </c>
      <c r="B495" s="2" t="str">
        <f>HYPERLINK("https://www.elsevier.com/locate/issn/2213-624X", "Case Studies on Transport Policy")</f>
        <v>Case Studies on Transport Policy</v>
      </c>
      <c r="C495" s="1" t="s">
        <v>10</v>
      </c>
      <c r="D495" s="1">
        <v>1950</v>
      </c>
      <c r="E495" s="1">
        <v>1820</v>
      </c>
      <c r="F495" s="1">
        <v>1560</v>
      </c>
      <c r="G495" s="1">
        <v>241860</v>
      </c>
    </row>
    <row r="496" spans="1:7" x14ac:dyDescent="0.25">
      <c r="A496" s="1" t="s">
        <v>711</v>
      </c>
      <c r="B496" s="2" t="str">
        <f>HYPERLINK("https://www.elsevier.com/locate/issn/0920-5861", "Catalysis Today")</f>
        <v>Catalysis Today</v>
      </c>
      <c r="C496" s="1" t="s">
        <v>10</v>
      </c>
      <c r="D496" s="1">
        <v>3930</v>
      </c>
      <c r="E496" s="1">
        <v>3680</v>
      </c>
      <c r="F496" s="1">
        <v>3150</v>
      </c>
      <c r="G496" s="1">
        <v>487440</v>
      </c>
    </row>
    <row r="497" spans="1:7" x14ac:dyDescent="0.25">
      <c r="A497" s="1" t="s">
        <v>712</v>
      </c>
      <c r="B497" s="2" t="str">
        <f>HYPERLINK("https://www.elsevier.com/locate/issn/0341-8162", "CATENA")</f>
        <v>CATENA</v>
      </c>
      <c r="C497" s="1" t="s">
        <v>10</v>
      </c>
      <c r="D497" s="1">
        <v>3680</v>
      </c>
      <c r="E497" s="1">
        <v>3440</v>
      </c>
      <c r="F497" s="1">
        <v>2950</v>
      </c>
      <c r="G497" s="1">
        <v>456430</v>
      </c>
    </row>
    <row r="498" spans="1:7" x14ac:dyDescent="0.25">
      <c r="A498" s="1" t="s">
        <v>713</v>
      </c>
      <c r="B498" s="2" t="str">
        <f>HYPERLINK("https://www.elsevier.com/locate/issn/0092-8674", "Cell")</f>
        <v>Cell</v>
      </c>
      <c r="C498" s="1" t="s">
        <v>10</v>
      </c>
      <c r="D498" s="1">
        <v>11400</v>
      </c>
      <c r="E498" s="1">
        <v>10560</v>
      </c>
      <c r="F498" s="1">
        <v>9130</v>
      </c>
      <c r="G498" s="1">
        <v>1413940</v>
      </c>
    </row>
    <row r="499" spans="1:7" x14ac:dyDescent="0.25">
      <c r="A499" s="1" t="s">
        <v>714</v>
      </c>
      <c r="B499" s="2" t="str">
        <f>HYPERLINK("https://www.elsevier.com/locate/issn/3050-5623", "Cell Biomaterials")</f>
        <v>Cell Biomaterials</v>
      </c>
      <c r="C499" s="1" t="s">
        <v>10</v>
      </c>
      <c r="D499" s="1">
        <v>9350</v>
      </c>
      <c r="E499" s="1">
        <v>8660</v>
      </c>
      <c r="F499" s="1">
        <v>7490</v>
      </c>
      <c r="G499" s="1">
        <v>1159680</v>
      </c>
    </row>
    <row r="500" spans="1:7" x14ac:dyDescent="0.25">
      <c r="A500" s="1" t="s">
        <v>715</v>
      </c>
      <c r="B500" s="2" t="str">
        <f>HYPERLINK("https://www.elsevier.com/locate/issn/0143-4160", "Cell Calcium")</f>
        <v>Cell Calcium</v>
      </c>
      <c r="C500" s="1" t="s">
        <v>10</v>
      </c>
      <c r="D500" s="1">
        <v>3950</v>
      </c>
      <c r="E500" s="1">
        <v>3700</v>
      </c>
      <c r="F500" s="1">
        <v>3160</v>
      </c>
      <c r="G500" s="1">
        <v>489920</v>
      </c>
    </row>
    <row r="501" spans="1:7" x14ac:dyDescent="0.25">
      <c r="A501" s="1" t="s">
        <v>716</v>
      </c>
      <c r="B501" s="2" t="str">
        <f>HYPERLINK("https://www.elsevier.com/locate/issn/2451-9456", "Cell Chemical Biology ")</f>
        <v>Cell Chemical Biology </v>
      </c>
      <c r="C501" s="1" t="s">
        <v>10</v>
      </c>
      <c r="D501" s="1">
        <v>9350</v>
      </c>
      <c r="E501" s="1">
        <v>8660</v>
      </c>
      <c r="F501" s="1">
        <v>7490</v>
      </c>
      <c r="G501" s="1">
        <v>1159680</v>
      </c>
    </row>
    <row r="502" spans="1:7" x14ac:dyDescent="0.25">
      <c r="A502" s="1" t="s">
        <v>717</v>
      </c>
      <c r="B502" s="2" t="str">
        <f>HYPERLINK("https://www.elsevier.com/locate/issn/3051-1151", "Cell Death")</f>
        <v>Cell Death</v>
      </c>
      <c r="C502" s="1" t="s">
        <v>23</v>
      </c>
      <c r="D502" s="1">
        <v>2600</v>
      </c>
      <c r="E502" s="1">
        <v>2430</v>
      </c>
      <c r="F502" s="1">
        <v>2080</v>
      </c>
      <c r="G502" s="1">
        <v>322480</v>
      </c>
    </row>
    <row r="503" spans="1:7" x14ac:dyDescent="0.25">
      <c r="A503" s="1" t="s">
        <v>718</v>
      </c>
      <c r="B503" s="2" t="str">
        <f>HYPERLINK("https://www.elsevier.com/locate/issn/2949-9461", "Cell Ecosystem")</f>
        <v>Cell Ecosystem</v>
      </c>
      <c r="C503" s="1" t="s">
        <v>23</v>
      </c>
      <c r="D503" s="1">
        <v>2400</v>
      </c>
      <c r="E503" s="1">
        <v>2250</v>
      </c>
      <c r="F503" s="1">
        <v>1920</v>
      </c>
      <c r="G503" s="1">
        <v>297670</v>
      </c>
    </row>
    <row r="504" spans="1:7" x14ac:dyDescent="0.25">
      <c r="A504" s="1" t="s">
        <v>719</v>
      </c>
      <c r="B504" s="2" t="str">
        <f>HYPERLINK("https://www.elsevier.com/locate/issn/2666-979X", "Cell Genomics")</f>
        <v>Cell Genomics</v>
      </c>
      <c r="C504" s="1" t="s">
        <v>23</v>
      </c>
      <c r="D504" s="1">
        <v>8900</v>
      </c>
      <c r="E504" s="1">
        <v>8250</v>
      </c>
      <c r="F504" s="1">
        <v>7130</v>
      </c>
      <c r="G504" s="1">
        <v>1103870</v>
      </c>
    </row>
    <row r="505" spans="1:7" x14ac:dyDescent="0.25">
      <c r="A505" s="1" t="s">
        <v>720</v>
      </c>
      <c r="B505" s="2" t="str">
        <f>HYPERLINK("https://www.elsevier.com/locate/issn/1931-3128", "Cell Host &amp; Microbe")</f>
        <v>Cell Host &amp; Microbe</v>
      </c>
      <c r="C505" s="1" t="s">
        <v>10</v>
      </c>
      <c r="D505" s="1">
        <v>10400</v>
      </c>
      <c r="E505" s="1">
        <v>9640</v>
      </c>
      <c r="F505" s="1">
        <v>8330</v>
      </c>
      <c r="G505" s="1">
        <v>1289910</v>
      </c>
    </row>
    <row r="506" spans="1:7" x14ac:dyDescent="0.25">
      <c r="A506" s="1" t="s">
        <v>721</v>
      </c>
      <c r="B506" s="2" t="str">
        <f>HYPERLINK("https://www.elsevier.com/locate/issn/3050-5380", "Cell Investigation")</f>
        <v>Cell Investigation</v>
      </c>
      <c r="C506" s="1" t="s">
        <v>34</v>
      </c>
      <c r="D506" s="1">
        <v>2500</v>
      </c>
      <c r="E506" s="1">
        <v>2340</v>
      </c>
      <c r="F506" s="1">
        <v>2000</v>
      </c>
      <c r="G506" s="1">
        <v>310080</v>
      </c>
    </row>
    <row r="507" spans="1:7" x14ac:dyDescent="0.25">
      <c r="A507" s="1" t="s">
        <v>722</v>
      </c>
      <c r="B507" s="2" t="str">
        <f>HYPERLINK("https://www.elsevier.com/locate/issn/1550-4131", "Cell Metabolism")</f>
        <v>Cell Metabolism</v>
      </c>
      <c r="C507" s="1" t="s">
        <v>10</v>
      </c>
      <c r="D507" s="1">
        <v>10400</v>
      </c>
      <c r="E507" s="1">
        <v>9640</v>
      </c>
      <c r="F507" s="1">
        <v>8330</v>
      </c>
      <c r="G507" s="1">
        <v>1289910</v>
      </c>
    </row>
    <row r="508" spans="1:7" x14ac:dyDescent="0.25">
      <c r="A508" s="1" t="s">
        <v>723</v>
      </c>
      <c r="B508" s="2" t="str">
        <f>HYPERLINK("https://www.elsevier.com/locate/issn/2211-1247", "Cell Reports")</f>
        <v>Cell Reports</v>
      </c>
      <c r="C508" s="1" t="s">
        <v>23</v>
      </c>
      <c r="D508" s="1">
        <v>5620</v>
      </c>
      <c r="E508" s="1">
        <v>5210</v>
      </c>
      <c r="F508" s="1">
        <v>4500</v>
      </c>
      <c r="G508" s="1">
        <v>697050</v>
      </c>
    </row>
    <row r="509" spans="1:7" x14ac:dyDescent="0.25">
      <c r="A509" s="1" t="s">
        <v>724</v>
      </c>
      <c r="B509" s="2" t="str">
        <f>HYPERLINK("https://www.elsevier.com/locate/issn/2666-3791", "Cell Reports Medicine")</f>
        <v>Cell Reports Medicine</v>
      </c>
      <c r="C509" s="1" t="s">
        <v>23</v>
      </c>
      <c r="D509" s="1">
        <v>5620</v>
      </c>
      <c r="E509" s="1">
        <v>5210</v>
      </c>
      <c r="F509" s="1">
        <v>4500</v>
      </c>
      <c r="G509" s="1">
        <v>697050</v>
      </c>
    </row>
    <row r="510" spans="1:7" x14ac:dyDescent="0.25">
      <c r="A510" s="1" t="s">
        <v>725</v>
      </c>
      <c r="B510" s="2" t="str">
        <f>HYPERLINK("https://www.elsevier.com/locate/issn/2667-2375", "Cell Reports Methods")</f>
        <v>Cell Reports Methods</v>
      </c>
      <c r="C510" s="1" t="s">
        <v>23</v>
      </c>
      <c r="D510" s="1">
        <v>4824</v>
      </c>
      <c r="E510" s="1">
        <v>4470</v>
      </c>
      <c r="F510" s="1">
        <v>3860</v>
      </c>
      <c r="G510" s="1">
        <v>598320</v>
      </c>
    </row>
    <row r="511" spans="1:7" x14ac:dyDescent="0.25">
      <c r="A511" s="1" t="s">
        <v>726</v>
      </c>
      <c r="B511" s="2" t="str">
        <f>HYPERLINK("https://www.elsevier.com/locate/issn/2666-3864", "Cell Reports Physical Science")</f>
        <v>Cell Reports Physical Science</v>
      </c>
      <c r="C511" s="1" t="s">
        <v>23</v>
      </c>
      <c r="D511" s="1">
        <v>5620</v>
      </c>
      <c r="E511" s="1">
        <v>5210</v>
      </c>
      <c r="F511" s="1">
        <v>4500</v>
      </c>
      <c r="G511" s="1">
        <v>697050</v>
      </c>
    </row>
    <row r="512" spans="1:7" x14ac:dyDescent="0.25">
      <c r="A512" s="1" t="s">
        <v>727</v>
      </c>
      <c r="B512" s="2" t="str">
        <f>HYPERLINK("https://www.elsevier.com/locate/issn/2949-7906", "Cell Reports Sustainability")</f>
        <v>Cell Reports Sustainability</v>
      </c>
      <c r="C512" s="1" t="s">
        <v>23</v>
      </c>
      <c r="D512" s="1">
        <v>5730</v>
      </c>
      <c r="E512" s="1">
        <v>5310</v>
      </c>
      <c r="F512" s="1">
        <v>4590</v>
      </c>
      <c r="G512" s="1">
        <v>710690</v>
      </c>
    </row>
    <row r="513" spans="1:7" x14ac:dyDescent="0.25">
      <c r="A513" s="1" t="s">
        <v>728</v>
      </c>
      <c r="B513" s="2" t="str">
        <f>HYPERLINK("https://www.elsevier.com/locate/issn/1934-5909", "Cell Stem Cell")</f>
        <v>Cell Stem Cell</v>
      </c>
      <c r="C513" s="1" t="s">
        <v>10</v>
      </c>
      <c r="D513" s="1">
        <v>10400</v>
      </c>
      <c r="E513" s="1">
        <v>9640</v>
      </c>
      <c r="F513" s="1">
        <v>8330</v>
      </c>
      <c r="G513" s="1">
        <v>1289910</v>
      </c>
    </row>
    <row r="514" spans="1:7" x14ac:dyDescent="0.25">
      <c r="A514" s="1" t="s">
        <v>729</v>
      </c>
      <c r="B514" s="2" t="str">
        <f>HYPERLINK("https://www.elsevier.com/locate/issn/1355-8145", "Cell Stress and Chaperones")</f>
        <v>Cell Stress and Chaperones</v>
      </c>
      <c r="C514" s="1" t="s">
        <v>23</v>
      </c>
      <c r="D514" s="1">
        <v>2850</v>
      </c>
      <c r="E514" s="1">
        <v>2670</v>
      </c>
      <c r="F514" s="1">
        <v>2280</v>
      </c>
      <c r="G514" s="1">
        <v>353490</v>
      </c>
    </row>
    <row r="515" spans="1:7" x14ac:dyDescent="0.25">
      <c r="A515" s="1" t="s">
        <v>730</v>
      </c>
      <c r="B515" s="2" t="str">
        <f>HYPERLINK("https://www.elsevier.com/locate/issn/2405-4712", "Cell Systems")</f>
        <v>Cell Systems</v>
      </c>
      <c r="C515" s="1" t="s">
        <v>10</v>
      </c>
      <c r="D515" s="1">
        <v>9350</v>
      </c>
      <c r="E515" s="1">
        <v>8660</v>
      </c>
      <c r="F515" s="1">
        <v>7490</v>
      </c>
      <c r="G515" s="1">
        <v>1159680</v>
      </c>
    </row>
    <row r="516" spans="1:7" x14ac:dyDescent="0.25">
      <c r="A516" s="1" t="s">
        <v>731</v>
      </c>
      <c r="B516" s="2" t="str">
        <f>HYPERLINK("https://www.elsevier.com/locate/issn/2667-2901", "Cells and Development")</f>
        <v>Cells and Development</v>
      </c>
      <c r="C516" s="1" t="s">
        <v>10</v>
      </c>
      <c r="D516" s="1">
        <v>3450</v>
      </c>
      <c r="E516" s="1">
        <v>3230</v>
      </c>
      <c r="F516" s="1">
        <v>2760</v>
      </c>
      <c r="G516" s="1">
        <v>427900</v>
      </c>
    </row>
    <row r="517" spans="1:7" x14ac:dyDescent="0.25">
      <c r="A517" s="1" t="s">
        <v>732</v>
      </c>
      <c r="B517" s="2" t="str">
        <f>HYPERLINK("https://www.elsevier.com/locate/issn/2352-345X", "Cellular and Molecular Gastroenterology and Hepatology")</f>
        <v>Cellular and Molecular Gastroenterology and Hepatology</v>
      </c>
      <c r="C517" s="1" t="s">
        <v>23</v>
      </c>
      <c r="D517" s="1">
        <v>3430</v>
      </c>
      <c r="E517" s="1">
        <v>3210</v>
      </c>
      <c r="F517" s="1">
        <v>2750</v>
      </c>
      <c r="G517" s="1">
        <v>425420</v>
      </c>
    </row>
    <row r="518" spans="1:7" x14ac:dyDescent="0.25">
      <c r="A518" s="1" t="s">
        <v>733</v>
      </c>
      <c r="B518" s="2" t="str">
        <f>HYPERLINK("https://www.elsevier.com/locate/issn/0008-8749", "Cellular Immunology")</f>
        <v>Cellular Immunology</v>
      </c>
      <c r="C518" s="1" t="s">
        <v>10</v>
      </c>
      <c r="D518" s="1">
        <v>3550</v>
      </c>
      <c r="E518" s="1">
        <v>3320</v>
      </c>
      <c r="F518" s="1">
        <v>2840</v>
      </c>
      <c r="G518" s="1">
        <v>440310</v>
      </c>
    </row>
    <row r="519" spans="1:7" x14ac:dyDescent="0.25">
      <c r="A519" s="1" t="s">
        <v>734</v>
      </c>
      <c r="B519" s="2" t="str">
        <f>HYPERLINK("https://www.elsevier.com/locate/issn/0898-6568", "Cellular Signalling")</f>
        <v>Cellular Signalling</v>
      </c>
      <c r="C519" s="1" t="s">
        <v>10</v>
      </c>
      <c r="D519" s="1">
        <v>3550</v>
      </c>
      <c r="E519" s="1">
        <v>3320</v>
      </c>
      <c r="F519" s="1">
        <v>2840</v>
      </c>
      <c r="G519" s="1">
        <v>440310</v>
      </c>
    </row>
    <row r="520" spans="1:7" x14ac:dyDescent="0.25">
      <c r="A520" s="1" t="s">
        <v>735</v>
      </c>
      <c r="B520" s="2" t="str">
        <f>HYPERLINK("https://www.elsevier.com/locate/issn/2666-5492", "Cement")</f>
        <v>Cement</v>
      </c>
      <c r="C520" s="1" t="s">
        <v>23</v>
      </c>
      <c r="D520" s="1">
        <v>1850</v>
      </c>
      <c r="E520" s="1">
        <v>1730</v>
      </c>
      <c r="F520" s="1">
        <v>1480</v>
      </c>
      <c r="G520" s="1">
        <v>229460</v>
      </c>
    </row>
    <row r="521" spans="1:7" x14ac:dyDescent="0.25">
      <c r="A521" s="1" t="s">
        <v>736</v>
      </c>
      <c r="B521" s="2" t="str">
        <f>HYPERLINK("https://www.elsevier.com/locate/issn/0958-9465", "Cement and Concrete Composites")</f>
        <v>Cement and Concrete Composites</v>
      </c>
      <c r="C521" s="1" t="s">
        <v>10</v>
      </c>
      <c r="D521" s="1">
        <v>5120</v>
      </c>
      <c r="E521" s="1">
        <v>4790</v>
      </c>
      <c r="F521" s="1">
        <v>4100</v>
      </c>
      <c r="G521" s="1">
        <v>635030</v>
      </c>
    </row>
    <row r="522" spans="1:7" x14ac:dyDescent="0.25">
      <c r="A522" s="1" t="s">
        <v>737</v>
      </c>
      <c r="B522" s="2" t="str">
        <f>HYPERLINK("https://www.elsevier.com/locate/issn/0008-8846", "Cement and Concrete Research")</f>
        <v>Cement and Concrete Research</v>
      </c>
      <c r="C522" s="1" t="s">
        <v>10</v>
      </c>
      <c r="D522" s="1">
        <v>5180</v>
      </c>
      <c r="E522" s="1">
        <v>4850</v>
      </c>
      <c r="F522" s="1">
        <v>4150</v>
      </c>
      <c r="G522" s="1">
        <v>642480</v>
      </c>
    </row>
    <row r="523" spans="1:7" x14ac:dyDescent="0.25">
      <c r="A523" s="1" t="s">
        <v>738</v>
      </c>
      <c r="B523" s="2" t="str">
        <f>HYPERLINK("https://www.elsevier.com/locate/issn/1303-0701", "Central Bank Review")</f>
        <v>Central Bank Review</v>
      </c>
      <c r="C523" s="1" t="s">
        <v>23</v>
      </c>
      <c r="D523" s="1">
        <v>1200</v>
      </c>
      <c r="E523" s="1">
        <v>1120</v>
      </c>
      <c r="F523" s="1">
        <v>960</v>
      </c>
      <c r="G523" s="1">
        <v>148840</v>
      </c>
    </row>
    <row r="524" spans="1:7" x14ac:dyDescent="0.25">
      <c r="A524" s="1" t="s">
        <v>739</v>
      </c>
      <c r="B524" s="2" t="str">
        <f>HYPERLINK("https://www.elsevier.com/locate/issn/0272-8842", "Ceramics International")</f>
        <v>Ceramics International</v>
      </c>
      <c r="C524" s="1" t="s">
        <v>10</v>
      </c>
      <c r="D524" s="1">
        <v>3830</v>
      </c>
      <c r="E524" s="1">
        <v>3580</v>
      </c>
      <c r="F524" s="1">
        <v>3070</v>
      </c>
      <c r="G524" s="1">
        <v>475030</v>
      </c>
    </row>
    <row r="525" spans="1:7" x14ac:dyDescent="0.25">
      <c r="A525" s="1" t="s">
        <v>740</v>
      </c>
      <c r="B525" s="2" t="str">
        <f>HYPERLINK("https://www.elsevier.com/locate/issn/2666-2450", "Cerebral Circulation - Cognition and Behavior")</f>
        <v>Cerebral Circulation - Cognition and Behavior</v>
      </c>
      <c r="C525" s="1" t="s">
        <v>23</v>
      </c>
      <c r="D525" s="1">
        <v>2320</v>
      </c>
      <c r="E525" s="1">
        <v>2170</v>
      </c>
      <c r="F525" s="1">
        <v>1860</v>
      </c>
      <c r="G525" s="1">
        <v>287750</v>
      </c>
    </row>
    <row r="526" spans="1:7" x14ac:dyDescent="0.25">
      <c r="A526" s="1" t="s">
        <v>741</v>
      </c>
      <c r="B526" s="2" t="str">
        <f>HYPERLINK("https://www.elsevier.com/locate/issn/2451-9294", "Chem")</f>
        <v>Chem</v>
      </c>
      <c r="C526" s="1" t="s">
        <v>10</v>
      </c>
      <c r="D526" s="1">
        <v>9350</v>
      </c>
      <c r="E526" s="1">
        <v>8660</v>
      </c>
      <c r="F526" s="1">
        <v>7490</v>
      </c>
      <c r="G526" s="1">
        <v>1159680</v>
      </c>
    </row>
    <row r="527" spans="1:7" x14ac:dyDescent="0.25">
      <c r="A527" s="1" t="s">
        <v>742</v>
      </c>
      <c r="B527" s="2" t="str">
        <f>HYPERLINK("https://www.elsevier.com/locate/issn/2667-1093", "Chem Catalysis")</f>
        <v>Chem Catalysis</v>
      </c>
      <c r="C527" s="1" t="s">
        <v>10</v>
      </c>
      <c r="D527" s="1">
        <v>9170</v>
      </c>
      <c r="E527" s="1">
        <v>8500</v>
      </c>
      <c r="F527" s="1">
        <v>7340</v>
      </c>
      <c r="G527" s="1">
        <v>1137360</v>
      </c>
    </row>
    <row r="528" spans="1:7" x14ac:dyDescent="0.25">
      <c r="A528" s="1" t="s">
        <v>743</v>
      </c>
      <c r="B528" s="2" t="str">
        <f>HYPERLINK("https://www.elsevier.com/locate/issn/2405-8300", "Chemical Data Collections")</f>
        <v>Chemical Data Collections</v>
      </c>
      <c r="C528" s="1" t="s">
        <v>10</v>
      </c>
      <c r="D528" s="1">
        <v>1330</v>
      </c>
      <c r="E528" s="1">
        <v>1240</v>
      </c>
      <c r="F528" s="1">
        <v>1060</v>
      </c>
      <c r="G528" s="1">
        <v>164960</v>
      </c>
    </row>
    <row r="529" spans="1:7" x14ac:dyDescent="0.25">
      <c r="A529" s="1" t="s">
        <v>744</v>
      </c>
      <c r="B529" s="2" t="str">
        <f>HYPERLINK("https://www.elsevier.com/locate/issn/0255-2701", "Chemical Engineering and Processing - Process Intensification")</f>
        <v>Chemical Engineering and Processing - Process Intensification</v>
      </c>
      <c r="C529" s="1" t="s">
        <v>10</v>
      </c>
      <c r="D529" s="1">
        <v>3910</v>
      </c>
      <c r="E529" s="1">
        <v>3660</v>
      </c>
      <c r="F529" s="1">
        <v>3130</v>
      </c>
      <c r="G529" s="1">
        <v>484960</v>
      </c>
    </row>
    <row r="530" spans="1:7" x14ac:dyDescent="0.25">
      <c r="A530" s="1" t="s">
        <v>745</v>
      </c>
      <c r="B530" s="2" t="str">
        <f>HYPERLINK("https://www.elsevier.com/locate/issn/1385-8947", "Chemical Engineering Journal")</f>
        <v>Chemical Engineering Journal</v>
      </c>
      <c r="C530" s="1" t="s">
        <v>10</v>
      </c>
      <c r="D530" s="1">
        <v>4830</v>
      </c>
      <c r="E530" s="1">
        <v>4520</v>
      </c>
      <c r="F530" s="1">
        <v>3870</v>
      </c>
      <c r="G530" s="1">
        <v>599060</v>
      </c>
    </row>
    <row r="531" spans="1:7" x14ac:dyDescent="0.25">
      <c r="A531" s="1" t="s">
        <v>746</v>
      </c>
      <c r="B531" s="2" t="str">
        <f>HYPERLINK("https://www.elsevier.com/locate/issn/2666-8211", "Chemical Engineering Journal Advances")</f>
        <v>Chemical Engineering Journal Advances</v>
      </c>
      <c r="C531" s="1" t="s">
        <v>23</v>
      </c>
      <c r="D531" s="1">
        <v>2050</v>
      </c>
      <c r="E531" s="1">
        <v>1920</v>
      </c>
      <c r="F531" s="1">
        <v>1640</v>
      </c>
      <c r="G531" s="1">
        <v>254260</v>
      </c>
    </row>
    <row r="532" spans="1:7" x14ac:dyDescent="0.25">
      <c r="A532" s="1" t="s">
        <v>747</v>
      </c>
      <c r="B532" s="2" t="str">
        <f>HYPERLINK("https://www.elsevier.com/locate/issn/3051-0031", "Chemical Engineering Journal: Green and Sustainable")</f>
        <v>Chemical Engineering Journal: Green and Sustainable</v>
      </c>
      <c r="C532" s="1" t="s">
        <v>23</v>
      </c>
      <c r="D532" s="1">
        <v>3500</v>
      </c>
      <c r="E532" s="1">
        <v>3270</v>
      </c>
      <c r="F532" s="1">
        <v>2800</v>
      </c>
      <c r="G532" s="1">
        <v>434110</v>
      </c>
    </row>
    <row r="533" spans="1:7" x14ac:dyDescent="0.25">
      <c r="A533" s="1" t="s">
        <v>748</v>
      </c>
      <c r="B533" s="2" t="str">
        <f>HYPERLINK("https://www.elsevier.com/locate/issn/0263-8762", "Chemical Engineering Research and Design")</f>
        <v>Chemical Engineering Research and Design</v>
      </c>
      <c r="C533" s="1" t="s">
        <v>10</v>
      </c>
      <c r="D533" s="1">
        <v>3500</v>
      </c>
      <c r="E533" s="1">
        <v>3270</v>
      </c>
      <c r="F533" s="1">
        <v>2800</v>
      </c>
      <c r="G533" s="1">
        <v>434110</v>
      </c>
    </row>
    <row r="534" spans="1:7" x14ac:dyDescent="0.25">
      <c r="A534" s="1" t="s">
        <v>749</v>
      </c>
      <c r="B534" s="2" t="str">
        <f>HYPERLINK("https://www.elsevier.com/locate/issn/0009-2509", "Chemical Engineering Science")</f>
        <v>Chemical Engineering Science</v>
      </c>
      <c r="C534" s="1" t="s">
        <v>10</v>
      </c>
      <c r="D534" s="1">
        <v>4050</v>
      </c>
      <c r="E534" s="1">
        <v>3790</v>
      </c>
      <c r="F534" s="1">
        <v>3240</v>
      </c>
      <c r="G534" s="1">
        <v>502320</v>
      </c>
    </row>
    <row r="535" spans="1:7" x14ac:dyDescent="0.25">
      <c r="A535" s="1" t="s">
        <v>750</v>
      </c>
      <c r="B535" s="2" t="str">
        <f>HYPERLINK("https://www.elsevier.com/locate/issn/0009-2541", "Chemical Geology")</f>
        <v>Chemical Geology</v>
      </c>
      <c r="C535" s="1" t="s">
        <v>10</v>
      </c>
      <c r="D535" s="1">
        <v>3550</v>
      </c>
      <c r="E535" s="1">
        <v>3320</v>
      </c>
      <c r="F535" s="1">
        <v>2840</v>
      </c>
      <c r="G535" s="1">
        <v>440310</v>
      </c>
    </row>
    <row r="536" spans="1:7" x14ac:dyDescent="0.25">
      <c r="A536" s="1" t="s">
        <v>751</v>
      </c>
      <c r="B536" s="2" t="str">
        <f>HYPERLINK("https://www.elsevier.com/locate/issn/0301-0104", "Chemical Physics")</f>
        <v>Chemical Physics</v>
      </c>
      <c r="C536" s="1" t="s">
        <v>10</v>
      </c>
      <c r="D536" s="1">
        <v>3690</v>
      </c>
      <c r="E536" s="1">
        <v>3450</v>
      </c>
      <c r="F536" s="1">
        <v>2950</v>
      </c>
      <c r="G536" s="1">
        <v>457670</v>
      </c>
    </row>
    <row r="537" spans="1:7" x14ac:dyDescent="0.25">
      <c r="A537" s="1" t="s">
        <v>752</v>
      </c>
      <c r="B537" s="2" t="str">
        <f>HYPERLINK("https://www.elsevier.com/locate/issn/2667-0224", "Chemical Physics Impact")</f>
        <v>Chemical Physics Impact</v>
      </c>
      <c r="C537" s="1" t="s">
        <v>23</v>
      </c>
      <c r="D537" s="1">
        <v>1520</v>
      </c>
      <c r="E537" s="1">
        <v>1420</v>
      </c>
      <c r="F537" s="1">
        <v>1220</v>
      </c>
      <c r="G537" s="1">
        <v>188530</v>
      </c>
    </row>
    <row r="538" spans="1:7" x14ac:dyDescent="0.25">
      <c r="A538" s="1" t="s">
        <v>753</v>
      </c>
      <c r="B538" s="2" t="str">
        <f>HYPERLINK("https://www.elsevier.com/locate/issn/0009-2614", "Chemical Physics Letters")</f>
        <v>Chemical Physics Letters</v>
      </c>
      <c r="C538" s="1" t="s">
        <v>10</v>
      </c>
      <c r="D538" s="1">
        <v>3270</v>
      </c>
      <c r="E538" s="1">
        <v>3060</v>
      </c>
      <c r="F538" s="1">
        <v>2620</v>
      </c>
      <c r="G538" s="1">
        <v>405580</v>
      </c>
    </row>
    <row r="539" spans="1:7" x14ac:dyDescent="0.25">
      <c r="A539" s="1" t="s">
        <v>754</v>
      </c>
      <c r="B539" s="2" t="str">
        <f>HYPERLINK("https://www.elsevier.com/locate/issn/2667-3126", "Chemical Thermodynamics and Thermal Analysis")</f>
        <v>Chemical Thermodynamics and Thermal Analysis</v>
      </c>
      <c r="C539" s="1" t="s">
        <v>23</v>
      </c>
      <c r="D539" s="1">
        <v>1350</v>
      </c>
      <c r="E539" s="1">
        <v>1260</v>
      </c>
      <c r="F539" s="1">
        <v>1080</v>
      </c>
      <c r="G539" s="1">
        <v>167440</v>
      </c>
    </row>
    <row r="540" spans="1:7" x14ac:dyDescent="0.25">
      <c r="A540" s="1" t="s">
        <v>755</v>
      </c>
      <c r="B540" s="2" t="str">
        <f>HYPERLINK("https://www.elsevier.com/locate/issn/0009-2797", "Chemico-Biological Interactions")</f>
        <v>Chemico-Biological Interactions</v>
      </c>
      <c r="C540" s="1" t="s">
        <v>10</v>
      </c>
      <c r="D540" s="1">
        <v>3540</v>
      </c>
      <c r="E540" s="1">
        <v>3310</v>
      </c>
      <c r="F540" s="1">
        <v>2830</v>
      </c>
      <c r="G540" s="1">
        <v>439070</v>
      </c>
    </row>
    <row r="541" spans="1:7" x14ac:dyDescent="0.25">
      <c r="A541" s="1" t="s">
        <v>756</v>
      </c>
      <c r="B541" s="2" t="str">
        <f>HYPERLINK("https://www.elsevier.com/locate/issn/0009-3084", "Chemistry and Physics of Lipids")</f>
        <v>Chemistry and Physics of Lipids</v>
      </c>
      <c r="C541" s="1" t="s">
        <v>10</v>
      </c>
      <c r="D541" s="1">
        <v>3870</v>
      </c>
      <c r="E541" s="1">
        <v>3620</v>
      </c>
      <c r="F541" s="1">
        <v>3100</v>
      </c>
      <c r="G541" s="1">
        <v>480000</v>
      </c>
    </row>
    <row r="542" spans="1:7" x14ac:dyDescent="0.25">
      <c r="A542" s="1" t="s">
        <v>757</v>
      </c>
      <c r="B542" s="2" t="str">
        <f>HYPERLINK("https://www.elsevier.com/locate/issn/2949-7469", "Chemistry of Inorganic Materials")</f>
        <v>Chemistry of Inorganic Materials</v>
      </c>
      <c r="C542" s="1" t="s">
        <v>23</v>
      </c>
      <c r="D542" s="1">
        <v>1280</v>
      </c>
      <c r="E542" s="1">
        <v>1200</v>
      </c>
      <c r="F542" s="1">
        <v>1020</v>
      </c>
      <c r="G542" s="1">
        <v>158760</v>
      </c>
    </row>
    <row r="543" spans="1:7" x14ac:dyDescent="0.25">
      <c r="A543" s="1" t="s">
        <v>758</v>
      </c>
      <c r="B543" s="2" t="str">
        <f>HYPERLINK("https://www.elsevier.com/locate/issn/0169-7439", "Chemometrics and Intelligent Laboratory Systems")</f>
        <v>Chemometrics and Intelligent Laboratory Systems</v>
      </c>
      <c r="C543" s="1" t="s">
        <v>10</v>
      </c>
      <c r="D543" s="1">
        <v>3970</v>
      </c>
      <c r="E543" s="1">
        <v>3710</v>
      </c>
      <c r="F543" s="1">
        <v>3180</v>
      </c>
      <c r="G543" s="1">
        <v>492400</v>
      </c>
    </row>
    <row r="544" spans="1:7" x14ac:dyDescent="0.25">
      <c r="A544" s="1" t="s">
        <v>759</v>
      </c>
      <c r="B544" s="2" t="str">
        <f>HYPERLINK("https://www.elsevier.com/locate/issn/0045-6535", "Chemosphere")</f>
        <v>Chemosphere</v>
      </c>
      <c r="C544" s="1" t="s">
        <v>10</v>
      </c>
      <c r="D544" s="1">
        <v>4010</v>
      </c>
      <c r="E544" s="1">
        <v>3750</v>
      </c>
      <c r="F544" s="1">
        <v>3210</v>
      </c>
      <c r="G544" s="1">
        <v>497360</v>
      </c>
    </row>
    <row r="545" spans="1:7" x14ac:dyDescent="0.25">
      <c r="A545" s="1" t="s">
        <v>760</v>
      </c>
      <c r="B545" s="2" t="str">
        <f>HYPERLINK("https://www.elsevier.com/locate/issn/2772-5715", "ChemPhysMater")</f>
        <v>ChemPhysMater</v>
      </c>
      <c r="C545" s="1" t="s">
        <v>34</v>
      </c>
      <c r="D545" s="1" t="s">
        <v>324</v>
      </c>
      <c r="E545" s="1" t="s">
        <v>324</v>
      </c>
      <c r="F545" s="1" t="s">
        <v>324</v>
      </c>
      <c r="G545" s="1" t="s">
        <v>324</v>
      </c>
    </row>
    <row r="546" spans="1:7" x14ac:dyDescent="0.25">
      <c r="A546" s="1" t="s">
        <v>761</v>
      </c>
      <c r="B546" s="2" t="str">
        <f>HYPERLINK("https://www.elsevier.com/locate/issn/0012-3692", "Chest")</f>
        <v>Chest</v>
      </c>
      <c r="C546" s="1" t="s">
        <v>10</v>
      </c>
      <c r="D546" s="1">
        <v>4160</v>
      </c>
      <c r="E546" s="1">
        <v>3890</v>
      </c>
      <c r="F546" s="1">
        <v>3330</v>
      </c>
      <c r="G546" s="1">
        <v>515960</v>
      </c>
    </row>
    <row r="547" spans="1:7" x14ac:dyDescent="0.25">
      <c r="A547" s="1" t="s">
        <v>762</v>
      </c>
      <c r="B547" s="2" t="str">
        <f>HYPERLINK("https://www.elsevier.com/locate/issn/2949-7884", "CHEST Critical Care")</f>
        <v>CHEST Critical Care</v>
      </c>
      <c r="C547" s="1" t="s">
        <v>23</v>
      </c>
      <c r="D547" s="1">
        <v>2500</v>
      </c>
      <c r="E547" s="1">
        <v>2340</v>
      </c>
      <c r="F547" s="1">
        <v>2000</v>
      </c>
      <c r="G547" s="1">
        <v>310080</v>
      </c>
    </row>
    <row r="548" spans="1:7" x14ac:dyDescent="0.25">
      <c r="A548" s="1" t="s">
        <v>763</v>
      </c>
      <c r="B548" s="2" t="str">
        <f>HYPERLINK("https://www.elsevier.com/locate/issn/2949-7892", "CHEST Pulmonary")</f>
        <v>CHEST Pulmonary</v>
      </c>
      <c r="C548" s="1" t="s">
        <v>23</v>
      </c>
      <c r="D548" s="1">
        <v>2500</v>
      </c>
      <c r="E548" s="1">
        <v>2340</v>
      </c>
      <c r="F548" s="1">
        <v>2000</v>
      </c>
      <c r="G548" s="1">
        <v>310080</v>
      </c>
    </row>
    <row r="549" spans="1:7" x14ac:dyDescent="0.25">
      <c r="A549" s="1" t="s">
        <v>764</v>
      </c>
      <c r="B549" s="2" t="str">
        <f>HYPERLINK("https://www.elsevier.com/locate/issn/0145-2134", "Child Abuse &amp; Neglect")</f>
        <v>Child Abuse &amp; Neglect</v>
      </c>
      <c r="C549" s="1" t="s">
        <v>10</v>
      </c>
      <c r="D549" s="1">
        <v>4050</v>
      </c>
      <c r="E549" s="1">
        <v>3790</v>
      </c>
      <c r="F549" s="1">
        <v>3240</v>
      </c>
      <c r="G549" s="1">
        <v>502320</v>
      </c>
    </row>
    <row r="550" spans="1:7" x14ac:dyDescent="0.25">
      <c r="A550" s="1" t="s">
        <v>765</v>
      </c>
      <c r="B550" s="2" t="str">
        <f>HYPERLINK("https://www.elsevier.com/locate/issn/2950-1938", "Child Protection and Practice")</f>
        <v>Child Protection and Practice</v>
      </c>
      <c r="C550" s="1" t="s">
        <v>23</v>
      </c>
      <c r="D550" s="1">
        <v>2200</v>
      </c>
      <c r="E550" s="1">
        <v>2060</v>
      </c>
      <c r="F550" s="1">
        <v>1760</v>
      </c>
      <c r="G550" s="1">
        <v>272870</v>
      </c>
    </row>
    <row r="551" spans="1:7" x14ac:dyDescent="0.25">
      <c r="A551" s="1" t="s">
        <v>766</v>
      </c>
      <c r="B551" s="2" t="str">
        <f>HYPERLINK("https://www.elsevier.com/locate/issn/0190-7409", "Children and Youth Services Review")</f>
        <v>Children and Youth Services Review</v>
      </c>
      <c r="C551" s="1" t="s">
        <v>10</v>
      </c>
      <c r="D551" s="1">
        <v>4000</v>
      </c>
      <c r="E551" s="1">
        <v>3740</v>
      </c>
      <c r="F551" s="1">
        <v>3200</v>
      </c>
      <c r="G551" s="1">
        <v>496120</v>
      </c>
    </row>
    <row r="552" spans="1:7" x14ac:dyDescent="0.25">
      <c r="A552" s="1" t="s">
        <v>767</v>
      </c>
      <c r="B552" s="2" t="str">
        <f>HYPERLINK("https://www.elsevier.com/locate/issn/2666-9331", "China Economic Quarterly International")</f>
        <v>China Economic Quarterly International</v>
      </c>
      <c r="C552" s="1" t="s">
        <v>34</v>
      </c>
      <c r="D552" s="1">
        <v>350</v>
      </c>
      <c r="E552" s="1">
        <v>650</v>
      </c>
      <c r="F552" s="1">
        <v>280</v>
      </c>
      <c r="G552" s="1">
        <v>86820</v>
      </c>
    </row>
    <row r="553" spans="1:7" x14ac:dyDescent="0.25">
      <c r="A553" s="1" t="s">
        <v>768</v>
      </c>
      <c r="B553" s="2" t="str">
        <f>HYPERLINK("https://www.elsevier.com/locate/issn/1043-951X", "China Economic Review")</f>
        <v>China Economic Review</v>
      </c>
      <c r="C553" s="1" t="s">
        <v>10</v>
      </c>
      <c r="D553" s="1">
        <v>4380</v>
      </c>
      <c r="E553" s="1">
        <v>4100</v>
      </c>
      <c r="F553" s="1">
        <v>3510</v>
      </c>
      <c r="G553" s="1">
        <v>543250</v>
      </c>
    </row>
    <row r="554" spans="1:7" x14ac:dyDescent="0.25">
      <c r="A554" s="1" t="s">
        <v>769</v>
      </c>
      <c r="B554" s="2" t="str">
        <f>HYPERLINK("https://www.elsevier.com/locate/issn/2096-5192", "China Geology")</f>
        <v>China Geology</v>
      </c>
      <c r="C554" s="1" t="s">
        <v>34</v>
      </c>
      <c r="D554" s="1" t="s">
        <v>324</v>
      </c>
      <c r="E554" s="1" t="s">
        <v>324</v>
      </c>
      <c r="F554" s="1" t="s">
        <v>324</v>
      </c>
      <c r="G554" s="1" t="s">
        <v>324</v>
      </c>
    </row>
    <row r="555" spans="1:7" x14ac:dyDescent="0.25">
      <c r="A555" s="1" t="s">
        <v>770</v>
      </c>
      <c r="B555" s="2" t="str">
        <f>HYPERLINK("https://www.elsevier.com/locate/issn/1755-3091", "China Journal of Accounting Research")</f>
        <v>China Journal of Accounting Research</v>
      </c>
      <c r="C555" s="1" t="s">
        <v>23</v>
      </c>
      <c r="D555" s="1">
        <v>1800</v>
      </c>
      <c r="E555" s="1">
        <v>1680</v>
      </c>
      <c r="F555" s="1">
        <v>1440</v>
      </c>
      <c r="G555" s="1">
        <v>223250</v>
      </c>
    </row>
    <row r="556" spans="1:7" x14ac:dyDescent="0.25">
      <c r="A556" s="1" t="s">
        <v>771</v>
      </c>
      <c r="B556" s="2" t="str">
        <f>HYPERLINK("https://www.elsevier.com/locate/issn/2950-5593", "Chinese General Practice Journal")</f>
        <v>Chinese General Practice Journal</v>
      </c>
      <c r="C556" s="1" t="s">
        <v>34</v>
      </c>
      <c r="D556" s="1" t="s">
        <v>324</v>
      </c>
      <c r="E556" s="1" t="s">
        <v>324</v>
      </c>
      <c r="F556" s="1" t="s">
        <v>324</v>
      </c>
      <c r="G556" s="1" t="s">
        <v>324</v>
      </c>
    </row>
    <row r="557" spans="1:7" x14ac:dyDescent="0.25">
      <c r="A557" s="1" t="s">
        <v>772</v>
      </c>
      <c r="B557" s="2" t="str">
        <f>HYPERLINK("https://www.elsevier.com/locate/issn/1674-6384", "Chinese Herbal Medicines")</f>
        <v>Chinese Herbal Medicines</v>
      </c>
      <c r="C557" s="1" t="s">
        <v>23</v>
      </c>
      <c r="D557" s="1">
        <v>1200</v>
      </c>
      <c r="E557" s="1">
        <v>1120</v>
      </c>
      <c r="F557" s="1">
        <v>960</v>
      </c>
      <c r="G557" s="1">
        <v>148840</v>
      </c>
    </row>
    <row r="558" spans="1:7" x14ac:dyDescent="0.25">
      <c r="A558" s="1" t="s">
        <v>773</v>
      </c>
      <c r="B558" s="2" t="str">
        <f>HYPERLINK("https://www.elsevier.com/locate/issn/1000-9361", "Chinese Journal of Aeronautics")</f>
        <v>Chinese Journal of Aeronautics</v>
      </c>
      <c r="C558" s="1" t="s">
        <v>23</v>
      </c>
      <c r="D558" s="1">
        <v>2000</v>
      </c>
      <c r="E558" s="1">
        <v>1870</v>
      </c>
      <c r="F558" s="1">
        <v>1600</v>
      </c>
      <c r="G558" s="1">
        <v>248060</v>
      </c>
    </row>
    <row r="559" spans="1:7" x14ac:dyDescent="0.25">
      <c r="A559" s="1" t="s">
        <v>774</v>
      </c>
      <c r="B559" s="2" t="str">
        <f>HYPERLINK("https://www.elsevier.com/locate/issn/1872-2040", "Chinese Journal of Analytical Chemistry")</f>
        <v>Chinese Journal of Analytical Chemistry</v>
      </c>
      <c r="C559" s="1" t="s">
        <v>23</v>
      </c>
      <c r="D559" s="1">
        <v>1400</v>
      </c>
      <c r="E559" s="1">
        <v>1310</v>
      </c>
      <c r="F559" s="1">
        <v>1120</v>
      </c>
      <c r="G559" s="1">
        <v>173640</v>
      </c>
    </row>
    <row r="560" spans="1:7" x14ac:dyDescent="0.25">
      <c r="A560" s="1" t="s">
        <v>775</v>
      </c>
      <c r="B560" s="2" t="str">
        <f>HYPERLINK("https://www.elsevier.com/locate/issn/1004-9541", "Chinese Journal of Chemical Engineering")</f>
        <v>Chinese Journal of Chemical Engineering</v>
      </c>
      <c r="C560" s="1" t="s">
        <v>10</v>
      </c>
      <c r="D560" s="1">
        <v>1880</v>
      </c>
      <c r="E560" s="1">
        <v>1760</v>
      </c>
      <c r="F560" s="1">
        <v>1510</v>
      </c>
      <c r="G560" s="1">
        <v>233180</v>
      </c>
    </row>
    <row r="561" spans="1:7" x14ac:dyDescent="0.25">
      <c r="A561" s="1" t="s">
        <v>776</v>
      </c>
      <c r="B561" s="2" t="str">
        <f>HYPERLINK("https://www.elsevier.com/locate/issn/1000-9345", "Chinese Journal of Mechanical Engineering")</f>
        <v>Chinese Journal of Mechanical Engineering</v>
      </c>
      <c r="C561" s="1" t="s">
        <v>34</v>
      </c>
      <c r="D561" s="1" t="s">
        <v>324</v>
      </c>
      <c r="E561" s="1" t="s">
        <v>324</v>
      </c>
      <c r="F561" s="1" t="s">
        <v>324</v>
      </c>
      <c r="G561" s="1" t="s">
        <v>324</v>
      </c>
    </row>
    <row r="562" spans="1:7" x14ac:dyDescent="0.25">
      <c r="A562" s="1" t="s">
        <v>777</v>
      </c>
      <c r="B562" s="2" t="str">
        <f>HYPERLINK("https://www.elsevier.com/locate/issn/0577-9073", "Chinese Journal of Physics")</f>
        <v>Chinese Journal of Physics</v>
      </c>
      <c r="C562" s="1" t="s">
        <v>10</v>
      </c>
      <c r="D562" s="1">
        <v>2000</v>
      </c>
      <c r="E562" s="1">
        <v>1870</v>
      </c>
      <c r="F562" s="1">
        <v>1600</v>
      </c>
      <c r="G562" s="1">
        <v>248060</v>
      </c>
    </row>
    <row r="563" spans="1:7" x14ac:dyDescent="0.25">
      <c r="A563" s="1" t="s">
        <v>778</v>
      </c>
      <c r="B563" s="2" t="str">
        <f>HYPERLINK("https://www.elsevier.com/locate/issn/2096-6911", "Chinese Journal of Plastic and Reconstructive Surgery")</f>
        <v>Chinese Journal of Plastic and Reconstructive Surgery</v>
      </c>
      <c r="C563" s="1" t="s">
        <v>34</v>
      </c>
      <c r="D563" s="1" t="s">
        <v>324</v>
      </c>
      <c r="E563" s="1" t="s">
        <v>324</v>
      </c>
      <c r="F563" s="1" t="s">
        <v>324</v>
      </c>
      <c r="G563" s="1" t="s">
        <v>324</v>
      </c>
    </row>
    <row r="564" spans="1:7" x14ac:dyDescent="0.25">
      <c r="A564" s="1" t="s">
        <v>779</v>
      </c>
      <c r="B564" s="2" t="str">
        <f>HYPERLINK("https://www.elsevier.com/locate/issn/0254-5861", "Chinese Journal of Structural Chemistry")</f>
        <v>Chinese Journal of Structural Chemistry</v>
      </c>
      <c r="C564" s="1" t="s">
        <v>10</v>
      </c>
      <c r="D564" s="1">
        <v>2700</v>
      </c>
      <c r="E564" s="1">
        <v>2530</v>
      </c>
      <c r="F564" s="1">
        <v>2160</v>
      </c>
      <c r="G564" s="1">
        <v>334880</v>
      </c>
    </row>
    <row r="565" spans="1:7" x14ac:dyDescent="0.25">
      <c r="A565" s="1" t="s">
        <v>780</v>
      </c>
      <c r="B565" s="2" t="str">
        <f>HYPERLINK("https://www.elsevier.com/locate/issn/1008-1275", "Chinese Journal of Traumatology")</f>
        <v>Chinese Journal of Traumatology</v>
      </c>
      <c r="C565" s="1" t="s">
        <v>34</v>
      </c>
      <c r="D565" s="1" t="s">
        <v>324</v>
      </c>
      <c r="E565" s="1" t="s">
        <v>324</v>
      </c>
      <c r="F565" s="1" t="s">
        <v>324</v>
      </c>
      <c r="G565" s="1" t="s">
        <v>324</v>
      </c>
    </row>
    <row r="566" spans="1:7" x14ac:dyDescent="0.25">
      <c r="A566" s="1" t="s">
        <v>781</v>
      </c>
      <c r="B566" s="2" t="str">
        <f>HYPERLINK("https://www.elsevier.com/locate/issn/2772-5588", "Chinese Medical Journal - Pulmonary and Critical Care Medicine")</f>
        <v>Chinese Medical Journal - Pulmonary and Critical Care Medicine</v>
      </c>
      <c r="C566" s="1" t="s">
        <v>23</v>
      </c>
      <c r="D566" s="1">
        <v>1100</v>
      </c>
      <c r="E566" s="1">
        <v>1030</v>
      </c>
      <c r="F566" s="1">
        <v>880</v>
      </c>
      <c r="G566" s="1">
        <v>136430</v>
      </c>
    </row>
    <row r="567" spans="1:7" x14ac:dyDescent="0.25">
      <c r="A567" s="1" t="s">
        <v>782</v>
      </c>
      <c r="B567" s="2" t="str">
        <f>HYPERLINK("https://www.elsevier.com/locate/issn/2709-4723", "Chip")</f>
        <v>Chip</v>
      </c>
      <c r="C567" s="1" t="s">
        <v>23</v>
      </c>
      <c r="D567" s="1">
        <v>2000</v>
      </c>
      <c r="E567" s="1">
        <v>1870</v>
      </c>
      <c r="F567" s="1">
        <v>1600</v>
      </c>
      <c r="G567" s="1">
        <v>224720</v>
      </c>
    </row>
    <row r="568" spans="1:7" x14ac:dyDescent="0.25">
      <c r="A568" s="1" t="s">
        <v>783</v>
      </c>
      <c r="B568" s="2" t="str">
        <f>HYPERLINK("https://www.elsevier.com/locate/issn/2773-1677", "Circular Economy")</f>
        <v>Circular Economy</v>
      </c>
      <c r="C568" s="1" t="s">
        <v>23</v>
      </c>
      <c r="D568" s="1">
        <v>1680</v>
      </c>
      <c r="E568" s="1">
        <v>1570</v>
      </c>
      <c r="F568" s="1">
        <v>1340</v>
      </c>
      <c r="G568" s="1">
        <v>208370</v>
      </c>
    </row>
    <row r="569" spans="1:7" x14ac:dyDescent="0.25">
      <c r="A569" s="1" t="s">
        <v>784</v>
      </c>
      <c r="B569" s="2" t="str">
        <f>HYPERLINK("https://www.elsevier.com/locate/issn/0007-8506", "CIRP Annals")</f>
        <v>CIRP Annals</v>
      </c>
      <c r="C569" s="1" t="s">
        <v>10</v>
      </c>
      <c r="D569" s="1">
        <v>3190</v>
      </c>
      <c r="E569" s="1">
        <v>2980</v>
      </c>
      <c r="F569" s="1">
        <v>2550</v>
      </c>
      <c r="G569" s="1">
        <v>395660</v>
      </c>
    </row>
    <row r="570" spans="1:7" x14ac:dyDescent="0.25">
      <c r="A570" s="1" t="s">
        <v>785</v>
      </c>
      <c r="B570" s="2" t="str">
        <f>HYPERLINK("https://www.elsevier.com/locate/issn/1755-5817", "CIRP Journal of Manufacturing Science and Technology")</f>
        <v>CIRP Journal of Manufacturing Science and Technology</v>
      </c>
      <c r="C570" s="1" t="s">
        <v>10</v>
      </c>
      <c r="D570" s="1">
        <v>2950</v>
      </c>
      <c r="E570" s="1">
        <v>2760</v>
      </c>
      <c r="F570" s="1">
        <v>2360</v>
      </c>
      <c r="G570" s="1">
        <v>365890</v>
      </c>
    </row>
    <row r="571" spans="1:7" x14ac:dyDescent="0.25">
      <c r="A571" s="1" t="s">
        <v>786</v>
      </c>
      <c r="B571" s="2" t="str">
        <f>HYPERLINK("https://www.elsevier.com/locate/issn/1134-0096", "Cirugía Cardiovascular")</f>
        <v>Cirugía Cardiovascular</v>
      </c>
      <c r="C571" s="1" t="s">
        <v>23</v>
      </c>
      <c r="D571" s="1">
        <v>1320</v>
      </c>
      <c r="E571" s="1">
        <v>1230</v>
      </c>
      <c r="F571" s="1">
        <v>1050</v>
      </c>
      <c r="G571" s="1">
        <v>163720</v>
      </c>
    </row>
    <row r="572" spans="1:7" x14ac:dyDescent="0.25">
      <c r="A572" s="1" t="s">
        <v>787</v>
      </c>
      <c r="B572" s="2" t="str">
        <f>HYPERLINK("https://www.elsevier.com/locate/issn/0009-739X", "Cirugía Española")</f>
        <v>Cirugía Española</v>
      </c>
      <c r="C572" s="1" t="s">
        <v>10</v>
      </c>
      <c r="D572" s="1">
        <v>2750</v>
      </c>
      <c r="E572" s="1">
        <v>2570</v>
      </c>
      <c r="F572" s="1">
        <v>2200</v>
      </c>
      <c r="G572" s="1">
        <v>341080</v>
      </c>
    </row>
    <row r="573" spans="1:7" x14ac:dyDescent="0.25">
      <c r="A573" s="1" t="s">
        <v>788</v>
      </c>
      <c r="B573" s="2" t="str">
        <f>HYPERLINK("https://www.elsevier.com/locate/issn/2173-5077", "Cirugía Española (English Edition)")</f>
        <v>Cirugía Española (English Edition)</v>
      </c>
      <c r="C573" s="1" t="s">
        <v>10</v>
      </c>
      <c r="D573" s="1">
        <v>2540</v>
      </c>
      <c r="E573" s="1">
        <v>2570</v>
      </c>
      <c r="F573" s="1">
        <v>2030</v>
      </c>
      <c r="G573" s="1">
        <v>341080</v>
      </c>
    </row>
    <row r="574" spans="1:7" x14ac:dyDescent="0.25">
      <c r="A574" s="1" t="s">
        <v>789</v>
      </c>
      <c r="B574" s="2" t="str">
        <f>HYPERLINK("https://www.elsevier.com/locate/issn/0264-2751", "Cities")</f>
        <v>Cities</v>
      </c>
      <c r="C574" s="1" t="s">
        <v>10</v>
      </c>
      <c r="D574" s="1">
        <v>3560</v>
      </c>
      <c r="E574" s="1">
        <v>3330</v>
      </c>
      <c r="F574" s="1">
        <v>2850</v>
      </c>
      <c r="G574" s="1">
        <v>441550</v>
      </c>
    </row>
    <row r="575" spans="1:7" x14ac:dyDescent="0.25">
      <c r="A575" s="1" t="s">
        <v>790</v>
      </c>
      <c r="B575" s="2" t="str">
        <f>HYPERLINK("https://www.elsevier.com/locate/issn/2590-2520", "City and Environment Interactions")</f>
        <v>City and Environment Interactions</v>
      </c>
      <c r="C575" s="1" t="s">
        <v>23</v>
      </c>
      <c r="D575" s="1">
        <v>2500</v>
      </c>
      <c r="E575" s="1">
        <v>2340</v>
      </c>
      <c r="F575" s="1">
        <v>2000</v>
      </c>
      <c r="G575" s="1">
        <v>310080</v>
      </c>
    </row>
    <row r="576" spans="1:7" x14ac:dyDescent="0.25">
      <c r="A576" s="1" t="s">
        <v>791</v>
      </c>
      <c r="B576" s="2" t="str">
        <f>HYPERLINK("https://www.elsevier.com/locate/issn/2589-790X", "CJC Open")</f>
        <v>CJC Open</v>
      </c>
      <c r="C576" s="1" t="s">
        <v>23</v>
      </c>
      <c r="D576" s="1">
        <v>2590</v>
      </c>
      <c r="E576" s="1">
        <v>2420</v>
      </c>
      <c r="F576" s="1">
        <v>2070</v>
      </c>
      <c r="G576" s="1">
        <v>321240</v>
      </c>
    </row>
    <row r="577" spans="1:7" x14ac:dyDescent="0.25">
      <c r="A577" s="1" t="s">
        <v>792</v>
      </c>
      <c r="B577" s="2" t="str">
        <f>HYPERLINK("https://www.elsevier.com/locate/issn/2772-8129", "CJC Pediatric and Congenital Heart Disease")</f>
        <v>CJC Pediatric and Congenital Heart Disease</v>
      </c>
      <c r="C577" s="1" t="s">
        <v>23</v>
      </c>
      <c r="D577" s="1">
        <v>2100</v>
      </c>
      <c r="E577" s="1">
        <v>1960</v>
      </c>
      <c r="F577" s="1">
        <v>1680</v>
      </c>
      <c r="G577" s="1">
        <v>260460</v>
      </c>
    </row>
    <row r="578" spans="1:7" x14ac:dyDescent="0.25">
      <c r="A578" s="1" t="s">
        <v>793</v>
      </c>
      <c r="B578" s="2" t="str">
        <f>HYPERLINK("https://www.elsevier.com/locate/issn/2772-8013", "Cleaner and Circular Bioeconomy")</f>
        <v>Cleaner and Circular Bioeconomy</v>
      </c>
      <c r="C578" s="1" t="s">
        <v>23</v>
      </c>
      <c r="D578" s="1">
        <v>1270</v>
      </c>
      <c r="E578" s="1">
        <v>1190</v>
      </c>
      <c r="F578" s="1">
        <v>1020</v>
      </c>
      <c r="G578" s="1">
        <v>157520</v>
      </c>
    </row>
    <row r="579" spans="1:7" x14ac:dyDescent="0.25">
      <c r="A579" s="1" t="s">
        <v>794</v>
      </c>
      <c r="B579" s="2" t="str">
        <f>HYPERLINK("https://www.elsevier.com/locate/issn/2666-7843", "Cleaner and Responsible Consumption")</f>
        <v>Cleaner and Responsible Consumption</v>
      </c>
      <c r="C579" s="1" t="s">
        <v>23</v>
      </c>
      <c r="D579" s="1">
        <v>1630</v>
      </c>
      <c r="E579" s="1">
        <v>1520</v>
      </c>
      <c r="F579" s="1">
        <v>1300</v>
      </c>
      <c r="G579" s="1">
        <v>202170</v>
      </c>
    </row>
    <row r="580" spans="1:7" x14ac:dyDescent="0.25">
      <c r="A580" s="1" t="s">
        <v>795</v>
      </c>
      <c r="B580" s="2" t="str">
        <f>HYPERLINK("https://www.elsevier.com/locate/issn/2772-7823", "Cleaner Chemical Engineering")</f>
        <v>Cleaner Chemical Engineering</v>
      </c>
      <c r="C580" s="1" t="s">
        <v>23</v>
      </c>
      <c r="D580" s="1">
        <v>1270</v>
      </c>
      <c r="E580" s="1">
        <v>1190</v>
      </c>
      <c r="F580" s="1">
        <v>1020</v>
      </c>
      <c r="G580" s="1">
        <v>157520</v>
      </c>
    </row>
    <row r="581" spans="1:7" x14ac:dyDescent="0.25">
      <c r="A581" s="1" t="s">
        <v>796</v>
      </c>
      <c r="B581" s="2" t="str">
        <f>HYPERLINK("https://www.elsevier.com/locate/issn/2772-7831", "Cleaner Energy Systems")</f>
        <v>Cleaner Energy Systems</v>
      </c>
      <c r="C581" s="1" t="s">
        <v>23</v>
      </c>
      <c r="D581" s="1">
        <v>1270</v>
      </c>
      <c r="E581" s="1">
        <v>1190</v>
      </c>
      <c r="F581" s="1">
        <v>1020</v>
      </c>
      <c r="G581" s="1">
        <v>157520</v>
      </c>
    </row>
    <row r="582" spans="1:7" x14ac:dyDescent="0.25">
      <c r="A582" s="1" t="s">
        <v>797</v>
      </c>
      <c r="B582" s="2" t="str">
        <f>HYPERLINK("https://www.elsevier.com/locate/issn/2666-7908", "Cleaner Engineering and Technology")</f>
        <v>Cleaner Engineering and Technology</v>
      </c>
      <c r="C582" s="1" t="s">
        <v>23</v>
      </c>
      <c r="D582" s="1">
        <v>1930</v>
      </c>
      <c r="E582" s="1">
        <v>1810</v>
      </c>
      <c r="F582" s="1">
        <v>1550</v>
      </c>
      <c r="G582" s="1">
        <v>239380</v>
      </c>
    </row>
    <row r="583" spans="1:7" x14ac:dyDescent="0.25">
      <c r="A583" s="1" t="s">
        <v>798</v>
      </c>
      <c r="B583" s="2" t="str">
        <f>HYPERLINK("https://www.elsevier.com/locate/issn/2666-7894", "Cleaner Environmental Systems")</f>
        <v>Cleaner Environmental Systems</v>
      </c>
      <c r="C583" s="1" t="s">
        <v>23</v>
      </c>
      <c r="D583" s="1">
        <v>1910</v>
      </c>
      <c r="E583" s="1">
        <v>1790</v>
      </c>
      <c r="F583" s="1">
        <v>1530</v>
      </c>
      <c r="G583" s="1">
        <v>236900</v>
      </c>
    </row>
    <row r="584" spans="1:7" x14ac:dyDescent="0.25">
      <c r="A584" s="1" t="s">
        <v>799</v>
      </c>
      <c r="B584" s="2" t="str">
        <f>HYPERLINK("https://www.elsevier.com/locate/issn/2772-3909", "Cleaner Logistics and Supply Chain")</f>
        <v>Cleaner Logistics and Supply Chain</v>
      </c>
      <c r="C584" s="1" t="s">
        <v>23</v>
      </c>
      <c r="D584" s="1">
        <v>1830</v>
      </c>
      <c r="E584" s="1">
        <v>1710</v>
      </c>
      <c r="F584" s="1">
        <v>1470</v>
      </c>
      <c r="G584" s="1">
        <v>226970</v>
      </c>
    </row>
    <row r="585" spans="1:7" x14ac:dyDescent="0.25">
      <c r="A585" s="1" t="s">
        <v>800</v>
      </c>
      <c r="B585" s="2" t="str">
        <f>HYPERLINK("https://www.elsevier.com/locate/issn/3050-998X", "Cleaner Manufacturing")</f>
        <v>Cleaner Manufacturing</v>
      </c>
      <c r="C585" s="1" t="s">
        <v>23</v>
      </c>
      <c r="D585" s="1">
        <v>1200</v>
      </c>
      <c r="E585" s="1">
        <v>1120</v>
      </c>
      <c r="F585" s="1">
        <v>960</v>
      </c>
      <c r="G585" s="1">
        <v>148840</v>
      </c>
    </row>
    <row r="586" spans="1:7" x14ac:dyDescent="0.25">
      <c r="A586" s="1" t="s">
        <v>801</v>
      </c>
      <c r="B586" s="2" t="str">
        <f>HYPERLINK("https://www.elsevier.com/locate/issn/2772-3976", "Cleaner Materials")</f>
        <v>Cleaner Materials</v>
      </c>
      <c r="C586" s="1" t="s">
        <v>23</v>
      </c>
      <c r="D586" s="1">
        <v>1710</v>
      </c>
      <c r="E586" s="1">
        <v>1600</v>
      </c>
      <c r="F586" s="1">
        <v>1370</v>
      </c>
      <c r="G586" s="1">
        <v>212090</v>
      </c>
    </row>
    <row r="587" spans="1:7" x14ac:dyDescent="0.25">
      <c r="A587" s="1" t="s">
        <v>802</v>
      </c>
      <c r="B587" s="2" t="str">
        <f>HYPERLINK("https://www.elsevier.com/locate/issn/2666-7916", "Cleaner Production Letters")</f>
        <v>Cleaner Production Letters</v>
      </c>
      <c r="C587" s="1" t="s">
        <v>23</v>
      </c>
      <c r="D587" s="1">
        <v>1270</v>
      </c>
      <c r="E587" s="1">
        <v>1190</v>
      </c>
      <c r="F587" s="1">
        <v>1020</v>
      </c>
      <c r="G587" s="1">
        <v>157520</v>
      </c>
    </row>
    <row r="588" spans="1:7" x14ac:dyDescent="0.25">
      <c r="A588" s="1" t="s">
        <v>803</v>
      </c>
      <c r="B588" s="2" t="str">
        <f>HYPERLINK("https://www.elsevier.com/locate/issn/2772-9125", "Cleaner Waste Systems")</f>
        <v>Cleaner Waste Systems</v>
      </c>
      <c r="C588" s="1" t="s">
        <v>23</v>
      </c>
      <c r="D588" s="1">
        <v>1430</v>
      </c>
      <c r="E588" s="1">
        <v>1340</v>
      </c>
      <c r="F588" s="1">
        <v>1140</v>
      </c>
      <c r="G588" s="1">
        <v>177360</v>
      </c>
    </row>
    <row r="589" spans="1:7" x14ac:dyDescent="0.25">
      <c r="A589" s="1" t="s">
        <v>804</v>
      </c>
      <c r="B589" s="2" t="str">
        <f>HYPERLINK("https://www.elsevier.com/locate/issn/2950-2632", "Cleaner Water")</f>
        <v>Cleaner Water</v>
      </c>
      <c r="C589" s="1" t="s">
        <v>23</v>
      </c>
      <c r="D589" s="1">
        <v>1230</v>
      </c>
      <c r="E589" s="1">
        <v>1150</v>
      </c>
      <c r="F589" s="1">
        <v>980</v>
      </c>
      <c r="G589" s="1">
        <v>152560</v>
      </c>
    </row>
    <row r="590" spans="1:7" x14ac:dyDescent="0.25">
      <c r="A590" s="1" t="s">
        <v>805</v>
      </c>
      <c r="B590" s="2" t="str">
        <f>HYPERLINK("https://www.elsevier.com/locate/issn/2666-9005", "Climate Change Ecology")</f>
        <v>Climate Change Ecology</v>
      </c>
      <c r="C590" s="1" t="s">
        <v>23</v>
      </c>
      <c r="D590" s="1">
        <v>1630</v>
      </c>
      <c r="E590" s="1">
        <v>1520</v>
      </c>
      <c r="F590" s="1">
        <v>1300</v>
      </c>
      <c r="G590" s="1">
        <v>202170</v>
      </c>
    </row>
    <row r="591" spans="1:7" x14ac:dyDescent="0.25">
      <c r="A591" s="1" t="s">
        <v>806</v>
      </c>
      <c r="B591" s="2" t="str">
        <f>HYPERLINK("https://www.elsevier.com/locate/issn/2212-0963", "Climate Risk Management")</f>
        <v>Climate Risk Management</v>
      </c>
      <c r="C591" s="1" t="s">
        <v>23</v>
      </c>
      <c r="D591" s="1">
        <v>3130</v>
      </c>
      <c r="E591" s="1">
        <v>2930</v>
      </c>
      <c r="F591" s="1">
        <v>2510</v>
      </c>
      <c r="G591" s="1">
        <v>388210</v>
      </c>
    </row>
    <row r="592" spans="1:7" x14ac:dyDescent="0.25">
      <c r="A592" s="1" t="s">
        <v>807</v>
      </c>
      <c r="B592" s="2" t="str">
        <f>HYPERLINK("https://www.elsevier.com/locate/issn/2405-8807", "Climate Services")</f>
        <v>Climate Services</v>
      </c>
      <c r="C592" s="1" t="s">
        <v>23</v>
      </c>
      <c r="D592" s="1">
        <v>2290</v>
      </c>
      <c r="E592" s="1">
        <v>2140</v>
      </c>
      <c r="F592" s="1">
        <v>1830</v>
      </c>
      <c r="G592" s="1">
        <v>284030</v>
      </c>
    </row>
    <row r="593" spans="1:7" x14ac:dyDescent="0.25">
      <c r="A593" s="1" t="s">
        <v>808</v>
      </c>
      <c r="B593" s="2" t="str">
        <f>HYPERLINK("https://www.elsevier.com/locate/issn/2950-4090", "Climate Smart Agriculture")</f>
        <v>Climate Smart Agriculture</v>
      </c>
      <c r="C593" s="1" t="s">
        <v>23</v>
      </c>
      <c r="D593" s="1">
        <v>1900</v>
      </c>
      <c r="E593" s="1">
        <v>1780</v>
      </c>
      <c r="F593" s="1">
        <v>1520</v>
      </c>
      <c r="G593" s="1">
        <v>235660</v>
      </c>
    </row>
    <row r="594" spans="1:7" x14ac:dyDescent="0.25">
      <c r="A594" s="1" t="s">
        <v>809</v>
      </c>
      <c r="B594" s="2" t="str">
        <f>HYPERLINK("https://www.elsevier.com/locate/issn/0009-8981", "Clinica Chimica Acta")</f>
        <v>Clinica Chimica Acta</v>
      </c>
      <c r="C594" s="1" t="s">
        <v>10</v>
      </c>
      <c r="D594" s="1">
        <v>3550</v>
      </c>
      <c r="E594" s="1">
        <v>3320</v>
      </c>
      <c r="F594" s="1">
        <v>2840</v>
      </c>
      <c r="G594" s="1">
        <v>440310</v>
      </c>
    </row>
    <row r="595" spans="1:7" x14ac:dyDescent="0.25">
      <c r="A595" s="1" t="s">
        <v>810</v>
      </c>
      <c r="B595" s="2" t="str">
        <f>HYPERLINK("https://www.elsevier.com/locate/issn/2405-6308", "Clinical and Translational Radiation Oncology")</f>
        <v>Clinical and Translational Radiation Oncology</v>
      </c>
      <c r="C595" s="1" t="s">
        <v>23</v>
      </c>
      <c r="D595" s="1">
        <v>2530</v>
      </c>
      <c r="E595" s="1">
        <v>2370</v>
      </c>
      <c r="F595" s="1">
        <v>2030</v>
      </c>
      <c r="G595" s="1">
        <v>313800</v>
      </c>
    </row>
    <row r="596" spans="1:7" x14ac:dyDescent="0.25">
      <c r="A596" s="1" t="s">
        <v>811</v>
      </c>
      <c r="B596" s="2" t="str">
        <f>HYPERLINK("https://www.elsevier.com/locate/issn/0009-9120", "Clinical Biochemistry")</f>
        <v>Clinical Biochemistry</v>
      </c>
      <c r="C596" s="1" t="s">
        <v>10</v>
      </c>
      <c r="D596" s="1">
        <v>3600</v>
      </c>
      <c r="E596" s="1">
        <v>3370</v>
      </c>
      <c r="F596" s="1">
        <v>2880</v>
      </c>
      <c r="G596" s="1">
        <v>446510</v>
      </c>
    </row>
    <row r="597" spans="1:7" x14ac:dyDescent="0.25">
      <c r="A597" s="1" t="s">
        <v>812</v>
      </c>
      <c r="B597" s="2" t="str">
        <f>HYPERLINK("https://www.elsevier.com/locate/issn/0268-0033", "Clinical Biomechanics")</f>
        <v>Clinical Biomechanics</v>
      </c>
      <c r="C597" s="1" t="s">
        <v>10</v>
      </c>
      <c r="D597" s="1">
        <v>2980</v>
      </c>
      <c r="E597" s="1">
        <v>2790</v>
      </c>
      <c r="F597" s="1">
        <v>2390</v>
      </c>
      <c r="G597" s="1">
        <v>369610</v>
      </c>
    </row>
    <row r="598" spans="1:7" x14ac:dyDescent="0.25">
      <c r="A598" s="1" t="s">
        <v>813</v>
      </c>
      <c r="B598" s="2" t="str">
        <f>HYPERLINK("https://www.elsevier.com/locate/issn/1526-8209", "Clinical Breast Cancer")</f>
        <v>Clinical Breast Cancer</v>
      </c>
      <c r="C598" s="1" t="s">
        <v>10</v>
      </c>
      <c r="D598" s="1">
        <v>3470</v>
      </c>
      <c r="E598" s="1">
        <v>3250</v>
      </c>
      <c r="F598" s="1">
        <v>2780</v>
      </c>
      <c r="G598" s="1">
        <v>430380</v>
      </c>
    </row>
    <row r="599" spans="1:7" x14ac:dyDescent="0.25">
      <c r="A599" s="1" t="s">
        <v>814</v>
      </c>
      <c r="B599" s="2" t="str">
        <f>HYPERLINK("https://www.elsevier.com/locate/issn/1533-0028", "Clinical Colorectal Cancer")</f>
        <v>Clinical Colorectal Cancer</v>
      </c>
      <c r="C599" s="1" t="s">
        <v>10</v>
      </c>
      <c r="D599" s="1">
        <v>3690</v>
      </c>
      <c r="E599" s="1">
        <v>3450</v>
      </c>
      <c r="F599" s="1">
        <v>2950</v>
      </c>
      <c r="G599" s="1">
        <v>457670</v>
      </c>
    </row>
    <row r="600" spans="1:7" x14ac:dyDescent="0.25">
      <c r="A600" s="1" t="s">
        <v>815</v>
      </c>
      <c r="B600" s="2" t="str">
        <f>HYPERLINK("https://www.elsevier.com/locate/issn/2588-9141", "Clinical eHealth")</f>
        <v>Clinical eHealth</v>
      </c>
      <c r="C600" s="1" t="s">
        <v>34</v>
      </c>
      <c r="D600" s="1">
        <v>248</v>
      </c>
      <c r="E600" s="1">
        <v>230</v>
      </c>
      <c r="F600" s="1">
        <v>200</v>
      </c>
      <c r="G600" s="1">
        <v>30760</v>
      </c>
    </row>
    <row r="601" spans="1:7" x14ac:dyDescent="0.25">
      <c r="A601" s="1" t="s">
        <v>816</v>
      </c>
      <c r="B601" s="2" t="str">
        <f>HYPERLINK("https://www.elsevier.com/locate/issn/2213-3984", "Clinical Epidemiology and Global Health")</f>
        <v>Clinical Epidemiology and Global Health</v>
      </c>
      <c r="C601" s="1" t="s">
        <v>23</v>
      </c>
      <c r="D601" s="1">
        <v>2200</v>
      </c>
      <c r="E601" s="1">
        <v>2060</v>
      </c>
      <c r="F601" s="1">
        <v>1760</v>
      </c>
      <c r="G601" s="1">
        <v>272870</v>
      </c>
    </row>
    <row r="602" spans="1:7" x14ac:dyDescent="0.25">
      <c r="A602" s="1" t="s">
        <v>817</v>
      </c>
      <c r="B602" s="2" t="str">
        <f>HYPERLINK("https://www.elsevier.com/locate/issn/1542-3565", "Clinical Gastroenterology and Hepatology")</f>
        <v>Clinical Gastroenterology and Hepatology</v>
      </c>
      <c r="C602" s="1" t="s">
        <v>10</v>
      </c>
      <c r="D602" s="1">
        <v>4470</v>
      </c>
      <c r="E602" s="1">
        <v>4180</v>
      </c>
      <c r="F602" s="1">
        <v>3580</v>
      </c>
      <c r="G602" s="1">
        <v>554410</v>
      </c>
    </row>
    <row r="603" spans="1:7" x14ac:dyDescent="0.25">
      <c r="A603" s="1" t="s">
        <v>818</v>
      </c>
      <c r="B603" s="2" t="str">
        <f>HYPERLINK("https://www.elsevier.com/locate/issn/1558-7673", "Clinical Genitourinary Cancer")</f>
        <v>Clinical Genitourinary Cancer</v>
      </c>
      <c r="C603" s="1" t="s">
        <v>10</v>
      </c>
      <c r="D603" s="1">
        <v>3530</v>
      </c>
      <c r="E603" s="1">
        <v>3300</v>
      </c>
      <c r="F603" s="1">
        <v>2830</v>
      </c>
      <c r="G603" s="1">
        <v>437830</v>
      </c>
    </row>
    <row r="604" spans="1:7" x14ac:dyDescent="0.25">
      <c r="A604" s="1" t="s">
        <v>819</v>
      </c>
      <c r="B604" s="2" t="str">
        <f>HYPERLINK("https://www.elsevier.com/locate/issn/0899-7071", "Clinical Imaging")</f>
        <v>Clinical Imaging</v>
      </c>
      <c r="C604" s="1" t="s">
        <v>10</v>
      </c>
      <c r="D604" s="1">
        <v>3310</v>
      </c>
      <c r="E604" s="1">
        <v>3100</v>
      </c>
      <c r="F604" s="1">
        <v>2650</v>
      </c>
      <c r="G604" s="1">
        <v>410540</v>
      </c>
    </row>
    <row r="605" spans="1:7" x14ac:dyDescent="0.25">
      <c r="A605" s="1" t="s">
        <v>820</v>
      </c>
      <c r="B605" s="2" t="str">
        <f>HYPERLINK("https://www.elsevier.com/locate/issn/1521-6616", "Clinical Immunology")</f>
        <v>Clinical Immunology</v>
      </c>
      <c r="C605" s="1" t="s">
        <v>10</v>
      </c>
      <c r="D605" s="1">
        <v>4400</v>
      </c>
      <c r="E605" s="1">
        <v>4120</v>
      </c>
      <c r="F605" s="1">
        <v>3520</v>
      </c>
      <c r="G605" s="1">
        <v>545730</v>
      </c>
    </row>
    <row r="606" spans="1:7" x14ac:dyDescent="0.25">
      <c r="A606" s="1" t="s">
        <v>821</v>
      </c>
      <c r="B606" s="2" t="str">
        <f>HYPERLINK("https://www.elsevier.com/locate/issn/2772-6134", "Clinical Immunology Communications")</f>
        <v>Clinical Immunology Communications</v>
      </c>
      <c r="C606" s="1" t="s">
        <v>23</v>
      </c>
      <c r="D606" s="1">
        <v>1860</v>
      </c>
      <c r="E606" s="1">
        <v>1740</v>
      </c>
      <c r="F606" s="1">
        <v>1490</v>
      </c>
      <c r="G606" s="1">
        <v>230700</v>
      </c>
    </row>
    <row r="607" spans="1:7" x14ac:dyDescent="0.25">
      <c r="A607" s="1" t="s">
        <v>822</v>
      </c>
      <c r="B607" s="2" t="str">
        <f>HYPERLINK("https://www.elsevier.com/locate/issn/2590-1702", "Clinical Infection in Practice")</f>
        <v>Clinical Infection in Practice</v>
      </c>
      <c r="C607" s="1" t="s">
        <v>23</v>
      </c>
      <c r="D607" s="1">
        <v>2000</v>
      </c>
      <c r="E607" s="1">
        <v>1870</v>
      </c>
      <c r="F607" s="1">
        <v>1600</v>
      </c>
      <c r="G607" s="1">
        <v>248060</v>
      </c>
    </row>
    <row r="608" spans="1:7" x14ac:dyDescent="0.25">
      <c r="A608" s="1" t="s">
        <v>823</v>
      </c>
      <c r="B608" s="2" t="str">
        <f>HYPERLINK("https://www.elsevier.com/locate/issn/1525-7304", "Clinical Lung Cancer")</f>
        <v>Clinical Lung Cancer</v>
      </c>
      <c r="C608" s="1" t="s">
        <v>10</v>
      </c>
      <c r="D608" s="1">
        <v>3200</v>
      </c>
      <c r="E608" s="1">
        <v>2990</v>
      </c>
      <c r="F608" s="1">
        <v>2560</v>
      </c>
      <c r="G608" s="1">
        <v>396900</v>
      </c>
    </row>
    <row r="609" spans="1:7" x14ac:dyDescent="0.25">
      <c r="A609" s="1" t="s">
        <v>824</v>
      </c>
      <c r="B609" s="2" t="str">
        <f>HYPERLINK("https://www.elsevier.com/locate/issn/1470-2118", "Clinical Medicine")</f>
        <v>Clinical Medicine</v>
      </c>
      <c r="C609" s="1" t="s">
        <v>23</v>
      </c>
      <c r="D609" s="1">
        <v>2500</v>
      </c>
      <c r="E609" s="1">
        <v>2340</v>
      </c>
      <c r="F609" s="1">
        <v>2000</v>
      </c>
      <c r="G609" s="1">
        <v>310080</v>
      </c>
    </row>
    <row r="610" spans="1:7" x14ac:dyDescent="0.25">
      <c r="A610" s="1" t="s">
        <v>825</v>
      </c>
      <c r="B610" s="2" t="str">
        <f>HYPERLINK("https://www.elsevier.com/locate/issn/1198-743X", "Clinical Microbiology and Infection")</f>
        <v>Clinical Microbiology and Infection</v>
      </c>
      <c r="C610" s="1" t="s">
        <v>10</v>
      </c>
      <c r="D610" s="1">
        <v>3780</v>
      </c>
      <c r="E610" s="1">
        <v>3540</v>
      </c>
      <c r="F610" s="1">
        <v>3030</v>
      </c>
      <c r="G610" s="1">
        <v>468830</v>
      </c>
    </row>
    <row r="611" spans="1:7" x14ac:dyDescent="0.25">
      <c r="A611" s="1" t="s">
        <v>826</v>
      </c>
      <c r="B611" s="2" t="str">
        <f>HYPERLINK("https://www.elsevier.com/locate/issn/0196-4399", "Clinical Microbiology Newsletter")</f>
        <v>Clinical Microbiology Newsletter</v>
      </c>
      <c r="C611" s="1" t="s">
        <v>10</v>
      </c>
      <c r="D611" s="1">
        <v>2910</v>
      </c>
      <c r="E611" s="1">
        <v>2720</v>
      </c>
      <c r="F611" s="1">
        <v>2330</v>
      </c>
      <c r="G611" s="1">
        <v>360930</v>
      </c>
    </row>
    <row r="612" spans="1:7" x14ac:dyDescent="0.25">
      <c r="A612" s="1" t="s">
        <v>827</v>
      </c>
      <c r="B612" s="2" t="str">
        <f>HYPERLINK("https://www.elsevier.com/locate/issn/0303-8467", "Clinical Neurology and Neurosurgery")</f>
        <v>Clinical Neurology and Neurosurgery</v>
      </c>
      <c r="C612" s="1" t="s">
        <v>10</v>
      </c>
      <c r="D612" s="1">
        <v>3740</v>
      </c>
      <c r="E612" s="1">
        <v>3500</v>
      </c>
      <c r="F612" s="1">
        <v>2990</v>
      </c>
      <c r="G612" s="1">
        <v>463870</v>
      </c>
    </row>
    <row r="613" spans="1:7" x14ac:dyDescent="0.25">
      <c r="A613" s="1" t="s">
        <v>828</v>
      </c>
      <c r="B613" s="2" t="str">
        <f>HYPERLINK("https://www.elsevier.com/locate/issn/1388-2457", "Clinical Neurophysiology")</f>
        <v>Clinical Neurophysiology</v>
      </c>
      <c r="C613" s="1" t="s">
        <v>10</v>
      </c>
      <c r="D613" s="1">
        <v>3790</v>
      </c>
      <c r="E613" s="1">
        <v>3550</v>
      </c>
      <c r="F613" s="1">
        <v>3030</v>
      </c>
      <c r="G613" s="1">
        <v>470070</v>
      </c>
    </row>
    <row r="614" spans="1:7" x14ac:dyDescent="0.25">
      <c r="A614" s="1" t="s">
        <v>829</v>
      </c>
      <c r="B614" s="2" t="str">
        <f>HYPERLINK("https://www.elsevier.com/locate/issn/2467-981X", "Clinical Neurophysiology Practice")</f>
        <v>Clinical Neurophysiology Practice</v>
      </c>
      <c r="C614" s="1" t="s">
        <v>23</v>
      </c>
      <c r="D614" s="1">
        <v>2530</v>
      </c>
      <c r="E614" s="1">
        <v>2310</v>
      </c>
      <c r="F614" s="1">
        <v>2030</v>
      </c>
      <c r="G614" s="1">
        <v>313800</v>
      </c>
    </row>
    <row r="615" spans="1:7" x14ac:dyDescent="0.25">
      <c r="A615" s="1" t="s">
        <v>830</v>
      </c>
      <c r="B615" s="2" t="str">
        <f>HYPERLINK("https://www.elsevier.com/locate/issn/0261-5614", "Clinical Nutrition")</f>
        <v>Clinical Nutrition</v>
      </c>
      <c r="C615" s="1" t="s">
        <v>10</v>
      </c>
      <c r="D615" s="1">
        <v>3320</v>
      </c>
      <c r="E615" s="1">
        <v>3110</v>
      </c>
      <c r="F615" s="1">
        <v>2660</v>
      </c>
      <c r="G615" s="1">
        <v>411780</v>
      </c>
    </row>
    <row r="616" spans="1:7" x14ac:dyDescent="0.25">
      <c r="A616" s="1" t="s">
        <v>831</v>
      </c>
      <c r="B616" s="2" t="str">
        <f>HYPERLINK("https://www.elsevier.com/locate/issn/2405-4577", "Clinical Nutrition ESPEN")</f>
        <v>Clinical Nutrition ESPEN</v>
      </c>
      <c r="C616" s="1" t="s">
        <v>10</v>
      </c>
      <c r="D616" s="1">
        <v>2750</v>
      </c>
      <c r="E616" s="1">
        <v>2570</v>
      </c>
      <c r="F616" s="1">
        <v>2200</v>
      </c>
      <c r="G616" s="1">
        <v>341080</v>
      </c>
    </row>
    <row r="617" spans="1:7" x14ac:dyDescent="0.25">
      <c r="A617" s="1" t="s">
        <v>832</v>
      </c>
      <c r="B617" s="2" t="str">
        <f>HYPERLINK("https://www.elsevier.com/locate/issn/2667-2685", "Clinical Nutrition Open Science")</f>
        <v>Clinical Nutrition Open Science</v>
      </c>
      <c r="C617" s="1" t="s">
        <v>23</v>
      </c>
      <c r="D617" s="1">
        <v>1200</v>
      </c>
      <c r="E617" s="1">
        <v>1120</v>
      </c>
      <c r="F617" s="1">
        <v>960</v>
      </c>
      <c r="G617" s="1">
        <v>148840</v>
      </c>
    </row>
    <row r="618" spans="1:7" x14ac:dyDescent="0.25">
      <c r="A618" s="1" t="s">
        <v>833</v>
      </c>
      <c r="B618" s="2" t="str">
        <f>HYPERLINK("https://www.elsevier.com/locate/issn/0936-6555", "Clinical Oncology")</f>
        <v>Clinical Oncology</v>
      </c>
      <c r="C618" s="1" t="s">
        <v>10</v>
      </c>
      <c r="D618" s="1">
        <v>3200</v>
      </c>
      <c r="E618" s="1">
        <v>2990</v>
      </c>
      <c r="F618" s="1">
        <v>2560</v>
      </c>
      <c r="G618" s="1">
        <v>396900</v>
      </c>
    </row>
    <row r="619" spans="1:7" x14ac:dyDescent="0.25">
      <c r="A619" s="1" t="s">
        <v>834</v>
      </c>
      <c r="B619" s="2" t="str">
        <f>HYPERLINK("https://www.elsevier.com/locate/issn/2590-1125", "Clinical Parkinsonism &amp; Related Disorders")</f>
        <v>Clinical Parkinsonism &amp; Related Disorders</v>
      </c>
      <c r="C619" s="1" t="s">
        <v>23</v>
      </c>
      <c r="D619" s="1">
        <v>2730</v>
      </c>
      <c r="E619" s="1">
        <v>2550</v>
      </c>
      <c r="F619" s="1">
        <v>2190</v>
      </c>
      <c r="G619" s="1">
        <v>338600</v>
      </c>
    </row>
    <row r="620" spans="1:7" x14ac:dyDescent="0.25">
      <c r="A620" s="1" t="s">
        <v>835</v>
      </c>
      <c r="B620" s="2" t="str">
        <f>HYPERLINK("https://www.elsevier.com/locate/issn/0272-7358", "Clinical Psychology Review")</f>
        <v>Clinical Psychology Review</v>
      </c>
      <c r="C620" s="1" t="s">
        <v>10</v>
      </c>
      <c r="D620" s="1">
        <v>5270</v>
      </c>
      <c r="E620" s="1">
        <v>4930</v>
      </c>
      <c r="F620" s="1">
        <v>4220</v>
      </c>
      <c r="G620" s="1">
        <v>653640</v>
      </c>
    </row>
    <row r="621" spans="1:7" x14ac:dyDescent="0.25">
      <c r="A621" s="1" t="s">
        <v>836</v>
      </c>
      <c r="B621" s="2" t="str">
        <f>HYPERLINK("https://www.elsevier.com/locate/issn/0009-9260", "Clinical Radiology")</f>
        <v>Clinical Radiology</v>
      </c>
      <c r="C621" s="1" t="s">
        <v>10</v>
      </c>
      <c r="D621" s="1">
        <v>3530</v>
      </c>
      <c r="E621" s="1">
        <v>3300</v>
      </c>
      <c r="F621" s="1">
        <v>2830</v>
      </c>
      <c r="G621" s="1">
        <v>437830</v>
      </c>
    </row>
    <row r="622" spans="1:7" x14ac:dyDescent="0.25">
      <c r="A622" s="1" t="s">
        <v>837</v>
      </c>
      <c r="B622" s="2" t="str">
        <f>HYPERLINK("https://www.elsevier.com/locate/issn/1876-1399", "Clinical Simulation in Nursing")</f>
        <v>Clinical Simulation in Nursing</v>
      </c>
      <c r="C622" s="1" t="s">
        <v>10</v>
      </c>
      <c r="D622" s="1">
        <v>3210</v>
      </c>
      <c r="E622" s="1">
        <v>3000</v>
      </c>
      <c r="F622" s="1">
        <v>2570</v>
      </c>
      <c r="G622" s="1">
        <v>398140</v>
      </c>
    </row>
    <row r="623" spans="1:7" x14ac:dyDescent="0.25">
      <c r="A623" s="1" t="s">
        <v>838</v>
      </c>
      <c r="B623" s="2" t="str">
        <f>HYPERLINK("https://www.elsevier.com/locate/issn/2666-0547", "Clinical Spectroscopy")</f>
        <v>Clinical Spectroscopy</v>
      </c>
      <c r="C623" s="1" t="s">
        <v>23</v>
      </c>
      <c r="D623" s="1">
        <v>1750</v>
      </c>
      <c r="E623" s="1">
        <v>1640</v>
      </c>
      <c r="F623" s="1">
        <v>1400</v>
      </c>
      <c r="G623" s="1">
        <v>217050</v>
      </c>
    </row>
    <row r="624" spans="1:7" x14ac:dyDescent="0.25">
      <c r="A624" s="1" t="s">
        <v>839</v>
      </c>
      <c r="B624" s="2" t="str">
        <f>HYPERLINK("https://www.elsevier.com/locate/issn/2773-160X", "Clinical Surgical Oncology")</f>
        <v>Clinical Surgical Oncology</v>
      </c>
      <c r="C624" s="1" t="s">
        <v>23</v>
      </c>
      <c r="D624" s="1">
        <v>2000</v>
      </c>
      <c r="E624" s="1">
        <v>1870</v>
      </c>
      <c r="F624" s="1">
        <v>1600</v>
      </c>
      <c r="G624" s="1">
        <v>248060</v>
      </c>
    </row>
    <row r="625" spans="1:7" x14ac:dyDescent="0.25">
      <c r="A625" s="1" t="s">
        <v>840</v>
      </c>
      <c r="B625" s="2" t="str">
        <f>HYPERLINK("https://www.elsevier.com/locate/issn/0149-2918", "Clinical Therapeutics")</f>
        <v>Clinical Therapeutics</v>
      </c>
      <c r="C625" s="1" t="s">
        <v>10</v>
      </c>
      <c r="D625" s="1">
        <v>4240</v>
      </c>
      <c r="E625" s="1">
        <v>3970</v>
      </c>
      <c r="F625" s="1">
        <v>3390</v>
      </c>
      <c r="G625" s="1">
        <v>525890</v>
      </c>
    </row>
    <row r="626" spans="1:7" x14ac:dyDescent="0.25">
      <c r="A626" s="1" t="s">
        <v>841</v>
      </c>
      <c r="B626" s="2" t="str">
        <f>HYPERLINK("https://www.elsevier.com/locate/issn/2097-3829", "Clinical Traditional Medicine and Pharmacology")</f>
        <v>Clinical Traditional Medicine and Pharmacology</v>
      </c>
      <c r="C626" s="1" t="s">
        <v>23</v>
      </c>
      <c r="D626" s="1">
        <v>1600</v>
      </c>
      <c r="E626" s="1">
        <v>1500</v>
      </c>
      <c r="F626" s="1">
        <v>1280</v>
      </c>
      <c r="G626" s="1">
        <v>198450</v>
      </c>
    </row>
    <row r="627" spans="1:7" x14ac:dyDescent="0.25">
      <c r="A627" s="1" t="s">
        <v>842</v>
      </c>
      <c r="B627" s="2" t="str">
        <f>HYPERLINK("https://www.elsevier.com/locate/issn/1807-5932", "Clinics")</f>
        <v>Clinics</v>
      </c>
      <c r="C627" s="1" t="s">
        <v>23</v>
      </c>
      <c r="D627" s="1">
        <v>1700</v>
      </c>
      <c r="E627" s="1">
        <v>1590</v>
      </c>
      <c r="F627" s="1">
        <v>1360</v>
      </c>
      <c r="G627" s="1">
        <v>210850</v>
      </c>
    </row>
    <row r="628" spans="1:7" x14ac:dyDescent="0.25">
      <c r="A628" s="1" t="s">
        <v>843</v>
      </c>
      <c r="B628" s="2" t="str">
        <f>HYPERLINK("https://www.elsevier.com/locate/issn/2210-7401", "Clinics and Research in Hepatology and Gastroenterology")</f>
        <v>Clinics and Research in Hepatology and Gastroenterology</v>
      </c>
      <c r="C628" s="1" t="s">
        <v>10</v>
      </c>
      <c r="D628" s="1">
        <v>3260</v>
      </c>
      <c r="E628" s="1">
        <v>2970</v>
      </c>
      <c r="F628" s="1">
        <v>2610</v>
      </c>
      <c r="G628" s="1">
        <v>404340</v>
      </c>
    </row>
    <row r="629" spans="1:7" x14ac:dyDescent="0.25">
      <c r="A629" s="1" t="s">
        <v>844</v>
      </c>
      <c r="B629" s="2" t="str">
        <f>HYPERLINK("https://www.elsevier.com/locate/issn/0738-081X", "Clinics in Dermatology")</f>
        <v>Clinics in Dermatology</v>
      </c>
      <c r="C629" s="1" t="s">
        <v>10</v>
      </c>
      <c r="D629" s="1">
        <v>3760</v>
      </c>
      <c r="E629" s="1">
        <v>3520</v>
      </c>
      <c r="F629" s="1">
        <v>3010</v>
      </c>
      <c r="G629" s="1">
        <v>466350</v>
      </c>
    </row>
    <row r="630" spans="1:7" x14ac:dyDescent="0.25">
      <c r="A630" s="1" t="s">
        <v>845</v>
      </c>
      <c r="B630" s="2" t="str">
        <f>HYPERLINK("https://www.elsevier.com/locate/issn/0214-9168", "Clínica e Investigación en Arteriosclerosis")</f>
        <v>Clínica e Investigación en Arteriosclerosis</v>
      </c>
      <c r="C630" s="1" t="s">
        <v>10</v>
      </c>
      <c r="D630" s="1">
        <v>1940</v>
      </c>
      <c r="E630" s="1">
        <v>1770</v>
      </c>
      <c r="F630" s="1">
        <v>1550</v>
      </c>
      <c r="G630" s="1">
        <v>240620</v>
      </c>
    </row>
    <row r="631" spans="1:7" x14ac:dyDescent="0.25">
      <c r="A631" s="1" t="s">
        <v>846</v>
      </c>
      <c r="B631" s="2" t="str">
        <f>HYPERLINK("https://www.elsevier.com/locate/issn/2529-9123", "Clínica e Investigación en arteriosclerosis (English edition)")</f>
        <v>Clínica e Investigación en arteriosclerosis (English edition)</v>
      </c>
      <c r="C631" s="1" t="s">
        <v>10</v>
      </c>
      <c r="D631" s="1">
        <v>1640</v>
      </c>
      <c r="E631" s="1">
        <v>1500</v>
      </c>
      <c r="F631" s="1">
        <v>1320</v>
      </c>
      <c r="G631" s="1">
        <v>203410</v>
      </c>
    </row>
    <row r="632" spans="1:7" x14ac:dyDescent="0.25">
      <c r="A632" s="1" t="s">
        <v>847</v>
      </c>
      <c r="B632" s="2" t="str">
        <f>HYPERLINK("https://www.elsevier.com/locate/issn/0210-573X", "Clínica e Investigación en Ginecología y Obstetricia")</f>
        <v>Clínica e Investigación en Ginecología y Obstetricia</v>
      </c>
      <c r="C632" s="1" t="s">
        <v>10</v>
      </c>
      <c r="D632" s="1">
        <v>2330</v>
      </c>
      <c r="E632" s="1">
        <v>2130</v>
      </c>
      <c r="F632" s="1">
        <v>1870</v>
      </c>
      <c r="G632" s="1">
        <v>288990</v>
      </c>
    </row>
    <row r="633" spans="1:7" x14ac:dyDescent="0.25">
      <c r="A633" s="1" t="s">
        <v>848</v>
      </c>
      <c r="B633" s="2" t="str">
        <f>HYPERLINK("https://www.elsevier.com/locate/issn/2950-5909", "CMI Communications")</f>
        <v>CMI Communications</v>
      </c>
      <c r="C633" s="1" t="s">
        <v>23</v>
      </c>
      <c r="D633" s="1">
        <v>2520</v>
      </c>
      <c r="E633" s="1">
        <v>2360</v>
      </c>
      <c r="F633" s="1">
        <v>2020</v>
      </c>
      <c r="G633" s="1">
        <v>312560</v>
      </c>
    </row>
    <row r="634" spans="1:7" x14ac:dyDescent="0.25">
      <c r="A634" s="1" t="s">
        <v>849</v>
      </c>
      <c r="B634" s="2" t="str">
        <f>HYPERLINK("https://www.elsevier.com/locate/issn/0378-3839", "Coastal Engineering")</f>
        <v>Coastal Engineering</v>
      </c>
      <c r="C634" s="1" t="s">
        <v>10</v>
      </c>
      <c r="D634" s="1">
        <v>4250</v>
      </c>
      <c r="E634" s="1">
        <v>3980</v>
      </c>
      <c r="F634" s="1">
        <v>3400</v>
      </c>
      <c r="G634" s="1">
        <v>527130</v>
      </c>
    </row>
    <row r="635" spans="1:7" x14ac:dyDescent="0.25">
      <c r="A635" s="1" t="s">
        <v>850</v>
      </c>
      <c r="B635" s="2" t="str">
        <f>HYPERLINK("https://www.elsevier.com/locate/issn/0010-0277", "Cognition")</f>
        <v>Cognition</v>
      </c>
      <c r="C635" s="1" t="s">
        <v>10</v>
      </c>
      <c r="D635" s="1">
        <v>3910</v>
      </c>
      <c r="E635" s="1">
        <v>3660</v>
      </c>
      <c r="F635" s="1">
        <v>3130</v>
      </c>
      <c r="G635" s="1">
        <v>484960</v>
      </c>
    </row>
    <row r="636" spans="1:7" x14ac:dyDescent="0.25">
      <c r="A636" s="1" t="s">
        <v>851</v>
      </c>
      <c r="B636" s="2" t="str">
        <f>HYPERLINK("https://www.elsevier.com/locate/issn/1077-7229", "Cognitive and Behavioral Practice")</f>
        <v>Cognitive and Behavioral Practice</v>
      </c>
      <c r="C636" s="1" t="s">
        <v>10</v>
      </c>
      <c r="D636" s="1">
        <v>3600</v>
      </c>
      <c r="E636" s="1">
        <v>3370</v>
      </c>
      <c r="F636" s="1">
        <v>2880</v>
      </c>
      <c r="G636" s="1">
        <v>446510</v>
      </c>
    </row>
    <row r="637" spans="1:7" x14ac:dyDescent="0.25">
      <c r="A637" s="1" t="s">
        <v>852</v>
      </c>
      <c r="B637" s="2" t="str">
        <f>HYPERLINK("https://www.elsevier.com/locate/issn/0885-2014", "Cognitive Development")</f>
        <v>Cognitive Development</v>
      </c>
      <c r="C637" s="1" t="s">
        <v>10</v>
      </c>
      <c r="D637" s="1">
        <v>3290</v>
      </c>
      <c r="E637" s="1">
        <v>3080</v>
      </c>
      <c r="F637" s="1">
        <v>2630</v>
      </c>
      <c r="G637" s="1">
        <v>408060</v>
      </c>
    </row>
    <row r="638" spans="1:7" x14ac:dyDescent="0.25">
      <c r="A638" s="1" t="s">
        <v>853</v>
      </c>
      <c r="B638" s="2" t="str">
        <f>HYPERLINK("https://www.elsevier.com/locate/issn/0010-0285", "Cognitive Psychology")</f>
        <v>Cognitive Psychology</v>
      </c>
      <c r="C638" s="1" t="s">
        <v>10</v>
      </c>
      <c r="D638" s="1">
        <v>3570</v>
      </c>
      <c r="E638" s="1">
        <v>3340</v>
      </c>
      <c r="F638" s="1">
        <v>2860</v>
      </c>
      <c r="G638" s="1">
        <v>442790</v>
      </c>
    </row>
    <row r="639" spans="1:7" x14ac:dyDescent="0.25">
      <c r="A639" s="1" t="s">
        <v>854</v>
      </c>
      <c r="B639" s="2" t="str">
        <f>HYPERLINK("https://www.elsevier.com/locate/issn/2667-2413", "Cognitive Robotics")</f>
        <v>Cognitive Robotics</v>
      </c>
      <c r="C639" s="1" t="s">
        <v>34</v>
      </c>
      <c r="D639" s="1">
        <v>700</v>
      </c>
      <c r="E639" s="1">
        <v>650</v>
      </c>
      <c r="F639" s="1">
        <v>560</v>
      </c>
      <c r="G639" s="1">
        <v>86820</v>
      </c>
    </row>
    <row r="640" spans="1:7" x14ac:dyDescent="0.25">
      <c r="A640" s="1" t="s">
        <v>855</v>
      </c>
      <c r="B640" s="2" t="str">
        <f>HYPERLINK("https://www.elsevier.com/locate/issn/1389-0417", "Cognitive Systems Research")</f>
        <v>Cognitive Systems Research</v>
      </c>
      <c r="C640" s="1" t="s">
        <v>10</v>
      </c>
      <c r="D640" s="1">
        <v>3030</v>
      </c>
      <c r="E640" s="1">
        <v>2830</v>
      </c>
      <c r="F640" s="1">
        <v>2430</v>
      </c>
      <c r="G640" s="1">
        <v>375810</v>
      </c>
    </row>
    <row r="641" spans="1:7" x14ac:dyDescent="0.25">
      <c r="A641" s="1" t="s">
        <v>856</v>
      </c>
      <c r="B641" s="2" t="str">
        <f>HYPERLINK("https://www.elsevier.com/locate/issn/0165-232X", "Cold Regions Science and Technology")</f>
        <v>Cold Regions Science and Technology</v>
      </c>
      <c r="C641" s="1" t="s">
        <v>10</v>
      </c>
      <c r="D641" s="1">
        <v>2960</v>
      </c>
      <c r="E641" s="1">
        <v>2770</v>
      </c>
      <c r="F641" s="1">
        <v>2370</v>
      </c>
      <c r="G641" s="1">
        <v>367130</v>
      </c>
    </row>
    <row r="642" spans="1:7" x14ac:dyDescent="0.25">
      <c r="A642" s="1" t="s">
        <v>857</v>
      </c>
      <c r="B642" s="2" t="str">
        <f>HYPERLINK("https://www.elsevier.com/locate/issn/1322-7696", "Collegian")</f>
        <v>Collegian</v>
      </c>
      <c r="C642" s="1" t="s">
        <v>10</v>
      </c>
      <c r="D642" s="1">
        <v>2600</v>
      </c>
      <c r="E642" s="1">
        <v>2430</v>
      </c>
      <c r="F642" s="1">
        <v>2080</v>
      </c>
      <c r="G642" s="1">
        <v>322480</v>
      </c>
    </row>
    <row r="643" spans="1:7" x14ac:dyDescent="0.25">
      <c r="A643" s="1" t="s">
        <v>858</v>
      </c>
      <c r="B643" s="2" t="str">
        <f>HYPERLINK("https://www.elsevier.com/locate/issn/2215-0382", "Colloid and Interface Science Communications")</f>
        <v>Colloid and Interface Science Communications</v>
      </c>
      <c r="C643" s="1" t="s">
        <v>23</v>
      </c>
      <c r="D643" s="1">
        <v>1830</v>
      </c>
      <c r="E643" s="1">
        <v>1710</v>
      </c>
      <c r="F643" s="1">
        <v>1470</v>
      </c>
      <c r="G643" s="1">
        <v>226970</v>
      </c>
    </row>
    <row r="644" spans="1:7" x14ac:dyDescent="0.25">
      <c r="A644" s="1" t="s">
        <v>859</v>
      </c>
      <c r="B644" s="2" t="str">
        <f>HYPERLINK("https://www.elsevier.com/locate/issn/0927-7757", "Colloids and Surfaces A: Physicochemical and Engineering Aspects")</f>
        <v>Colloids and Surfaces A: Physicochemical and Engineering Aspects</v>
      </c>
      <c r="C644" s="1" t="s">
        <v>10</v>
      </c>
      <c r="D644" s="1">
        <v>3200</v>
      </c>
      <c r="E644" s="1">
        <v>2990</v>
      </c>
      <c r="F644" s="1">
        <v>2560</v>
      </c>
      <c r="G644" s="1">
        <v>396900</v>
      </c>
    </row>
    <row r="645" spans="1:7" x14ac:dyDescent="0.25">
      <c r="A645" s="1" t="s">
        <v>860</v>
      </c>
      <c r="B645" s="2" t="str">
        <f>HYPERLINK("https://www.elsevier.com/locate/issn/0927-7765", "Colloids and Surfaces B: Biointerfaces")</f>
        <v>Colloids and Surfaces B: Biointerfaces</v>
      </c>
      <c r="C645" s="1" t="s">
        <v>10</v>
      </c>
      <c r="D645" s="1">
        <v>3790</v>
      </c>
      <c r="E645" s="1">
        <v>3550</v>
      </c>
      <c r="F645" s="1">
        <v>3030</v>
      </c>
      <c r="G645" s="1">
        <v>470070</v>
      </c>
    </row>
    <row r="646" spans="1:7" x14ac:dyDescent="0.25">
      <c r="A646" s="1" t="s">
        <v>861</v>
      </c>
      <c r="B646" s="2" t="str">
        <f>HYPERLINK("https://www.elsevier.com/locate/issn/2949-7590", "Colloids and Surfaces C: Environmental Aspects")</f>
        <v>Colloids and Surfaces C: Environmental Aspects</v>
      </c>
      <c r="C646" s="1" t="s">
        <v>10</v>
      </c>
      <c r="D646" s="1">
        <v>2580</v>
      </c>
      <c r="E646" s="1">
        <v>2410</v>
      </c>
      <c r="F646" s="1">
        <v>2070</v>
      </c>
      <c r="G646" s="1">
        <v>320000</v>
      </c>
    </row>
    <row r="647" spans="1:7" x14ac:dyDescent="0.25">
      <c r="A647" s="1" t="s">
        <v>862</v>
      </c>
      <c r="B647" s="2" t="str">
        <f>HYPERLINK("https://www.elsevier.com/locate/issn/0010-2180", "Combustion and Flame")</f>
        <v>Combustion and Flame</v>
      </c>
      <c r="C647" s="1" t="s">
        <v>10</v>
      </c>
      <c r="D647" s="1">
        <v>4320</v>
      </c>
      <c r="E647" s="1">
        <v>4040</v>
      </c>
      <c r="F647" s="1">
        <v>3460</v>
      </c>
      <c r="G647" s="1">
        <v>535810</v>
      </c>
    </row>
    <row r="648" spans="1:7" x14ac:dyDescent="0.25">
      <c r="A648" s="1" t="s">
        <v>863</v>
      </c>
      <c r="B648" s="2" t="str">
        <f>HYPERLINK("https://www.elsevier.com/locate/issn/1007-5704", "Communications in Nonlinear Science and Numerical Simulation")</f>
        <v>Communications in Nonlinear Science and Numerical Simulation</v>
      </c>
      <c r="C648" s="1" t="s">
        <v>10</v>
      </c>
      <c r="D648" s="1">
        <v>3710</v>
      </c>
      <c r="E648" s="1">
        <v>3470</v>
      </c>
      <c r="F648" s="1">
        <v>2970</v>
      </c>
      <c r="G648" s="1">
        <v>460150</v>
      </c>
    </row>
    <row r="649" spans="1:7" x14ac:dyDescent="0.25">
      <c r="A649" s="1" t="s">
        <v>864</v>
      </c>
      <c r="B649" s="2" t="str">
        <f>HYPERLINK("https://www.elsevier.com/locate/issn/2772-4247", "Communications in Transportation Research")</f>
        <v>Communications in Transportation Research</v>
      </c>
      <c r="C649" s="1" t="s">
        <v>23</v>
      </c>
      <c r="D649" s="1">
        <v>1250</v>
      </c>
      <c r="E649" s="1">
        <v>1170</v>
      </c>
      <c r="F649" s="1">
        <v>1000</v>
      </c>
      <c r="G649" s="1">
        <v>155040</v>
      </c>
    </row>
    <row r="650" spans="1:7" ht="30" x14ac:dyDescent="0.25">
      <c r="A650" s="1" t="s">
        <v>865</v>
      </c>
      <c r="B650" s="2" t="str">
        <f>HYPERLINK("https://www.elsevier.com/locate/issn/1095-6433", "Comparative Biochemistry and Physiology Part A: Molecular &amp; Integrative Physiology")</f>
        <v>Comparative Biochemistry and Physiology Part A: Molecular &amp; Integrative Physiology</v>
      </c>
      <c r="C650" s="1" t="s">
        <v>10</v>
      </c>
      <c r="D650" s="1">
        <v>3380</v>
      </c>
      <c r="E650" s="1">
        <v>3160</v>
      </c>
      <c r="F650" s="1">
        <v>2710</v>
      </c>
      <c r="G650" s="1">
        <v>419220</v>
      </c>
    </row>
    <row r="651" spans="1:7" ht="30" x14ac:dyDescent="0.25">
      <c r="A651" s="1" t="s">
        <v>866</v>
      </c>
      <c r="B651" s="2" t="str">
        <f>HYPERLINK("https://www.elsevier.com/locate/issn/1096-4959", "Comparative Biochemistry and Physiology Part B: Biochemistry and Molecular Biology")</f>
        <v>Comparative Biochemistry and Physiology Part B: Biochemistry and Molecular Biology</v>
      </c>
      <c r="C651" s="1" t="s">
        <v>10</v>
      </c>
      <c r="D651" s="1">
        <v>3080</v>
      </c>
      <c r="E651" s="1">
        <v>2880</v>
      </c>
      <c r="F651" s="1">
        <v>2470</v>
      </c>
      <c r="G651" s="1">
        <v>382010</v>
      </c>
    </row>
    <row r="652" spans="1:7" ht="30" x14ac:dyDescent="0.25">
      <c r="A652" s="1" t="s">
        <v>867</v>
      </c>
      <c r="B652" s="2" t="str">
        <f>HYPERLINK("https://www.elsevier.com/locate/issn/1532-0456", "Comparative Biochemistry and Physiology Part C: Toxicology &amp; Pharmacology")</f>
        <v>Comparative Biochemistry and Physiology Part C: Toxicology &amp; Pharmacology</v>
      </c>
      <c r="C652" s="1" t="s">
        <v>10</v>
      </c>
      <c r="D652" s="1">
        <v>3220</v>
      </c>
      <c r="E652" s="1">
        <v>3010</v>
      </c>
      <c r="F652" s="1">
        <v>2580</v>
      </c>
      <c r="G652" s="1">
        <v>399380</v>
      </c>
    </row>
    <row r="653" spans="1:7" ht="30" x14ac:dyDescent="0.25">
      <c r="A653" s="1" t="s">
        <v>868</v>
      </c>
      <c r="B653" s="2" t="str">
        <f>HYPERLINK("https://www.elsevier.com/locate/issn/1744-117X", "Comparative Biochemistry and Physiology Part D: Genomics and Proteomics")</f>
        <v>Comparative Biochemistry and Physiology Part D: Genomics and Proteomics</v>
      </c>
      <c r="C653" s="1" t="s">
        <v>10</v>
      </c>
      <c r="D653" s="1">
        <v>3360</v>
      </c>
      <c r="E653" s="1">
        <v>3140</v>
      </c>
      <c r="F653" s="1">
        <v>2690</v>
      </c>
      <c r="G653" s="1">
        <v>416740</v>
      </c>
    </row>
    <row r="654" spans="1:7" x14ac:dyDescent="0.25">
      <c r="A654" s="1" t="s">
        <v>869</v>
      </c>
      <c r="B654" s="2" t="str">
        <f>HYPERLINK("https://www.elsevier.com/locate/issn/2950-3116", "Comparative Immunology Reports")</f>
        <v>Comparative Immunology Reports</v>
      </c>
      <c r="C654" s="1" t="s">
        <v>23</v>
      </c>
      <c r="D654" s="1">
        <v>1800</v>
      </c>
      <c r="E654" s="1">
        <v>1680</v>
      </c>
      <c r="F654" s="1">
        <v>1440</v>
      </c>
      <c r="G654" s="1">
        <v>223250</v>
      </c>
    </row>
    <row r="655" spans="1:7" x14ac:dyDescent="0.25">
      <c r="A655" s="1" t="s">
        <v>870</v>
      </c>
      <c r="B655" s="2" t="str">
        <f>HYPERLINK("https://www.elsevier.com/locate/issn/1744-3881", "Complementary Therapies in Clinical Practice")</f>
        <v>Complementary Therapies in Clinical Practice</v>
      </c>
      <c r="C655" s="1" t="s">
        <v>10</v>
      </c>
      <c r="D655" s="1">
        <v>3530</v>
      </c>
      <c r="E655" s="1">
        <v>3300</v>
      </c>
      <c r="F655" s="1">
        <v>2830</v>
      </c>
      <c r="G655" s="1">
        <v>437830</v>
      </c>
    </row>
    <row r="656" spans="1:7" x14ac:dyDescent="0.25">
      <c r="A656" s="1" t="s">
        <v>871</v>
      </c>
      <c r="B656" s="2" t="str">
        <f>HYPERLINK("https://www.elsevier.com/locate/issn/0965-2299", "Complementary Therapies in Medicine")</f>
        <v>Complementary Therapies in Medicine</v>
      </c>
      <c r="C656" s="1" t="s">
        <v>23</v>
      </c>
      <c r="D656" s="1">
        <v>2760</v>
      </c>
      <c r="E656" s="1">
        <v>2580</v>
      </c>
      <c r="F656" s="1">
        <v>2210</v>
      </c>
      <c r="G656" s="1">
        <v>342320</v>
      </c>
    </row>
    <row r="657" spans="1:7" x14ac:dyDescent="0.25">
      <c r="A657" s="1" t="s">
        <v>872</v>
      </c>
      <c r="B657" s="2" t="str">
        <f>HYPERLINK("https://www.elsevier.com/locate/issn/0263-8223", "Composite Structures")</f>
        <v>Composite Structures</v>
      </c>
      <c r="C657" s="1" t="s">
        <v>10</v>
      </c>
      <c r="D657" s="1">
        <v>4660</v>
      </c>
      <c r="E657" s="1">
        <v>4360</v>
      </c>
      <c r="F657" s="1">
        <v>3730</v>
      </c>
      <c r="G657" s="1">
        <v>577980</v>
      </c>
    </row>
    <row r="658" spans="1:7" x14ac:dyDescent="0.25">
      <c r="A658" s="1" t="s">
        <v>873</v>
      </c>
      <c r="B658" s="2" t="str">
        <f>HYPERLINK("https://www.elsevier.com/locate/issn/2452-2139", "Composites Communications")</f>
        <v>Composites Communications</v>
      </c>
      <c r="C658" s="1" t="s">
        <v>10</v>
      </c>
      <c r="D658" s="1">
        <v>4070</v>
      </c>
      <c r="E658" s="1">
        <v>3810</v>
      </c>
      <c r="F658" s="1">
        <v>3260</v>
      </c>
      <c r="G658" s="1">
        <v>504800</v>
      </c>
    </row>
    <row r="659" spans="1:7" x14ac:dyDescent="0.25">
      <c r="A659" s="1" t="s">
        <v>874</v>
      </c>
      <c r="B659" s="2" t="str">
        <f>HYPERLINK("https://www.elsevier.com/locate/issn/1359-835X", "Composites Part A: Applied Science and Manufacturing")</f>
        <v>Composites Part A: Applied Science and Manufacturing</v>
      </c>
      <c r="C659" s="1" t="s">
        <v>10</v>
      </c>
      <c r="D659" s="1">
        <v>4480</v>
      </c>
      <c r="E659" s="1">
        <v>4190</v>
      </c>
      <c r="F659" s="1">
        <v>3590</v>
      </c>
      <c r="G659" s="1">
        <v>555650</v>
      </c>
    </row>
    <row r="660" spans="1:7" x14ac:dyDescent="0.25">
      <c r="A660" s="1" t="s">
        <v>875</v>
      </c>
      <c r="B660" s="2" t="str">
        <f>HYPERLINK("https://www.elsevier.com/locate/issn/1359-8368", "Composites Part B: Engineering")</f>
        <v>Composites Part B: Engineering</v>
      </c>
      <c r="C660" s="1" t="s">
        <v>10</v>
      </c>
      <c r="D660" s="1">
        <v>5210</v>
      </c>
      <c r="E660" s="1">
        <v>4870</v>
      </c>
      <c r="F660" s="1">
        <v>4170</v>
      </c>
      <c r="G660" s="1">
        <v>646200</v>
      </c>
    </row>
    <row r="661" spans="1:7" x14ac:dyDescent="0.25">
      <c r="A661" s="1" t="s">
        <v>876</v>
      </c>
      <c r="B661" s="2" t="str">
        <f>HYPERLINK("https://www.elsevier.com/locate/issn/2666-6820", "Composites Part C: Open Access")</f>
        <v>Composites Part C: Open Access</v>
      </c>
      <c r="C661" s="1" t="s">
        <v>23</v>
      </c>
      <c r="D661" s="1">
        <v>2400</v>
      </c>
      <c r="E661" s="1">
        <v>2250</v>
      </c>
      <c r="F661" s="1">
        <v>1920</v>
      </c>
      <c r="G661" s="1">
        <v>297670</v>
      </c>
    </row>
    <row r="662" spans="1:7" x14ac:dyDescent="0.25">
      <c r="A662" s="1" t="s">
        <v>877</v>
      </c>
      <c r="B662" s="2" t="str">
        <f>HYPERLINK("https://www.elsevier.com/locate/issn/0266-3538", "Composites Science and Technology")</f>
        <v>Composites Science and Technology</v>
      </c>
      <c r="C662" s="1" t="s">
        <v>10</v>
      </c>
      <c r="D662" s="1">
        <v>4610</v>
      </c>
      <c r="E662" s="1">
        <v>4310</v>
      </c>
      <c r="F662" s="1">
        <v>3690</v>
      </c>
      <c r="G662" s="1">
        <v>571780</v>
      </c>
    </row>
    <row r="663" spans="1:7" x14ac:dyDescent="0.25">
      <c r="A663" s="1" t="s">
        <v>878</v>
      </c>
      <c r="B663" s="2" t="str">
        <f>HYPERLINK("https://www.elsevier.com/locate/issn/0010-440X", "Comprehensive Psychiatry")</f>
        <v>Comprehensive Psychiatry</v>
      </c>
      <c r="C663" s="1" t="s">
        <v>23</v>
      </c>
      <c r="D663" s="1">
        <v>3470</v>
      </c>
      <c r="E663" s="1">
        <v>3250</v>
      </c>
      <c r="F663" s="1">
        <v>2780</v>
      </c>
      <c r="G663" s="1">
        <v>430380</v>
      </c>
    </row>
    <row r="664" spans="1:7" x14ac:dyDescent="0.25">
      <c r="A664" s="1" t="s">
        <v>879</v>
      </c>
      <c r="B664" s="2" t="str">
        <f>HYPERLINK("https://www.elsevier.com/locate/issn/2666-4976", "Comprehensive Psychoneuroendocrinology")</f>
        <v>Comprehensive Psychoneuroendocrinology</v>
      </c>
      <c r="C664" s="1" t="s">
        <v>23</v>
      </c>
      <c r="D664" s="1">
        <v>2180</v>
      </c>
      <c r="E664" s="1">
        <v>2040</v>
      </c>
      <c r="F664" s="1">
        <v>1750</v>
      </c>
      <c r="G664" s="1">
        <v>270390</v>
      </c>
    </row>
    <row r="665" spans="1:7" x14ac:dyDescent="0.25">
      <c r="A665" s="1" t="s">
        <v>880</v>
      </c>
      <c r="B665" s="2" t="str">
        <f>HYPERLINK("https://www.elsevier.com/locate/issn/2001-0370", "Computational and Structural Biotechnology Journal")</f>
        <v>Computational and Structural Biotechnology Journal</v>
      </c>
      <c r="C665" s="1" t="s">
        <v>23</v>
      </c>
      <c r="D665" s="1">
        <v>3230</v>
      </c>
      <c r="E665" s="1">
        <v>2950</v>
      </c>
      <c r="F665" s="1">
        <v>2590</v>
      </c>
      <c r="G665" s="1">
        <v>400620</v>
      </c>
    </row>
    <row r="666" spans="1:7" x14ac:dyDescent="0.25">
      <c r="A666" s="1" t="s">
        <v>881</v>
      </c>
      <c r="B666" s="2" t="str">
        <f>HYPERLINK("https://www.elsevier.com/locate/issn/2950-3639", "Computational and Structural Biotechnology Reports")</f>
        <v>Computational and Structural Biotechnology Reports</v>
      </c>
      <c r="C666" s="1" t="s">
        <v>23</v>
      </c>
      <c r="D666" s="1">
        <v>2190</v>
      </c>
      <c r="E666" s="1">
        <v>2050</v>
      </c>
      <c r="F666" s="1">
        <v>1760</v>
      </c>
      <c r="G666" s="1">
        <v>271630</v>
      </c>
    </row>
    <row r="667" spans="1:7" x14ac:dyDescent="0.25">
      <c r="A667" s="1" t="s">
        <v>882</v>
      </c>
      <c r="B667" s="2" t="str">
        <f>HYPERLINK("https://www.elsevier.com/locate/issn/2210-271X", "Computational and Theoretical Chemistry")</f>
        <v>Computational and Theoretical Chemistry</v>
      </c>
      <c r="C667" s="1" t="s">
        <v>10</v>
      </c>
      <c r="D667" s="1">
        <v>3870</v>
      </c>
      <c r="E667" s="1">
        <v>3620</v>
      </c>
      <c r="F667" s="1">
        <v>3100</v>
      </c>
      <c r="G667" s="1">
        <v>480000</v>
      </c>
    </row>
    <row r="668" spans="1:7" x14ac:dyDescent="0.25">
      <c r="A668" s="1" t="s">
        <v>883</v>
      </c>
      <c r="B668" s="2" t="str">
        <f>HYPERLINK("https://www.elsevier.com/locate/issn/1476-9271", "Computational Biology and Chemistry")</f>
        <v>Computational Biology and Chemistry</v>
      </c>
      <c r="C668" s="1" t="s">
        <v>10</v>
      </c>
      <c r="D668" s="1">
        <v>3320</v>
      </c>
      <c r="E668" s="1">
        <v>3110</v>
      </c>
      <c r="F668" s="1">
        <v>2660</v>
      </c>
      <c r="G668" s="1">
        <v>411780</v>
      </c>
    </row>
    <row r="669" spans="1:7" x14ac:dyDescent="0.25">
      <c r="A669" s="1" t="s">
        <v>884</v>
      </c>
      <c r="B669" s="2" t="str">
        <f>HYPERLINK("https://www.elsevier.com/locate/issn/2352-2143", "Computational Condensed Matter")</f>
        <v>Computational Condensed Matter</v>
      </c>
      <c r="C669" s="1" t="s">
        <v>10</v>
      </c>
      <c r="D669" s="1">
        <v>3330</v>
      </c>
      <c r="E669" s="1">
        <v>3120</v>
      </c>
      <c r="F669" s="1">
        <v>2670</v>
      </c>
      <c r="G669" s="1">
        <v>413020</v>
      </c>
    </row>
    <row r="670" spans="1:7" x14ac:dyDescent="0.25">
      <c r="A670" s="1" t="s">
        <v>885</v>
      </c>
      <c r="B670" s="2" t="str">
        <f>HYPERLINK("https://www.elsevier.com/locate/issn/0925-7721", "Computational Geometry")</f>
        <v>Computational Geometry</v>
      </c>
      <c r="C670" s="1" t="s">
        <v>10</v>
      </c>
      <c r="D670" s="1">
        <v>2540</v>
      </c>
      <c r="E670" s="1">
        <v>2380</v>
      </c>
      <c r="F670" s="1">
        <v>2030</v>
      </c>
      <c r="G670" s="1">
        <v>315040</v>
      </c>
    </row>
    <row r="671" spans="1:7" x14ac:dyDescent="0.25">
      <c r="A671" s="1" t="s">
        <v>886</v>
      </c>
      <c r="B671" s="2" t="str">
        <f>HYPERLINK("https://www.elsevier.com/locate/issn/0927-0256", "Computational Materials Science")</f>
        <v>Computational Materials Science</v>
      </c>
      <c r="C671" s="1" t="s">
        <v>10</v>
      </c>
      <c r="D671" s="1">
        <v>3290</v>
      </c>
      <c r="E671" s="1">
        <v>3080</v>
      </c>
      <c r="F671" s="1">
        <v>2630</v>
      </c>
      <c r="G671" s="1">
        <v>408060</v>
      </c>
    </row>
    <row r="672" spans="1:7" x14ac:dyDescent="0.25">
      <c r="A672" s="1" t="s">
        <v>887</v>
      </c>
      <c r="B672" s="2" t="str">
        <f>HYPERLINK("https://www.elsevier.com/locate/issn/2950-4635", "Computational Materials Today")</f>
        <v>Computational Materials Today</v>
      </c>
      <c r="C672" s="1" t="s">
        <v>23</v>
      </c>
      <c r="D672" s="1">
        <v>3000</v>
      </c>
      <c r="E672" s="1">
        <v>2810</v>
      </c>
      <c r="F672" s="1">
        <v>2400</v>
      </c>
      <c r="G672" s="1">
        <v>372090</v>
      </c>
    </row>
    <row r="673" spans="1:7" x14ac:dyDescent="0.25">
      <c r="A673" s="1" t="s">
        <v>888</v>
      </c>
      <c r="B673" s="2" t="str">
        <f>HYPERLINK("https://www.elsevier.com/locate/issn/2196-4386", "Computational Particle Mechanics")</f>
        <v>Computational Particle Mechanics</v>
      </c>
      <c r="C673" s="1" t="s">
        <v>23</v>
      </c>
      <c r="D673" s="1">
        <v>2000</v>
      </c>
      <c r="E673" s="1">
        <v>1870</v>
      </c>
      <c r="F673" s="1">
        <v>1600</v>
      </c>
      <c r="G673" s="1">
        <v>248060</v>
      </c>
    </row>
    <row r="674" spans="1:7" x14ac:dyDescent="0.25">
      <c r="A674" s="1" t="s">
        <v>889</v>
      </c>
      <c r="B674" s="2" t="str">
        <f>HYPERLINK("https://www.elsevier.com/locate/issn/0167-9473", "Computational Statistics &amp; Data Analysis")</f>
        <v>Computational Statistics &amp; Data Analysis</v>
      </c>
      <c r="C674" s="1" t="s">
        <v>10</v>
      </c>
      <c r="D674" s="1">
        <v>3540</v>
      </c>
      <c r="E674" s="1">
        <v>3310</v>
      </c>
      <c r="F674" s="1">
        <v>2830</v>
      </c>
      <c r="G674" s="1">
        <v>439070</v>
      </c>
    </row>
    <row r="675" spans="1:7" x14ac:dyDescent="0.25">
      <c r="A675" s="1" t="s">
        <v>890</v>
      </c>
      <c r="B675" s="2" t="str">
        <f>HYPERLINK("https://www.elsevier.com/locate/issn/2468-1113", "Computational Toxicology")</f>
        <v>Computational Toxicology</v>
      </c>
      <c r="C675" s="1" t="s">
        <v>10</v>
      </c>
      <c r="D675" s="1">
        <v>3870</v>
      </c>
      <c r="E675" s="1">
        <v>3620</v>
      </c>
      <c r="F675" s="1">
        <v>3100</v>
      </c>
      <c r="G675" s="1">
        <v>480000</v>
      </c>
    </row>
    <row r="676" spans="1:7" x14ac:dyDescent="0.25">
      <c r="A676" s="1" t="s">
        <v>891</v>
      </c>
      <c r="B676" s="2" t="str">
        <f>HYPERLINK("https://www.elsevier.com/locate/issn/0167-8396", "Computer Aided Geometric Design")</f>
        <v>Computer Aided Geometric Design</v>
      </c>
      <c r="C676" s="1" t="s">
        <v>10</v>
      </c>
      <c r="D676" s="1">
        <v>2930</v>
      </c>
      <c r="E676" s="1">
        <v>2740</v>
      </c>
      <c r="F676" s="1">
        <v>2350</v>
      </c>
      <c r="G676" s="1">
        <v>363410</v>
      </c>
    </row>
    <row r="677" spans="1:7" x14ac:dyDescent="0.25">
      <c r="A677" s="1" t="s">
        <v>892</v>
      </c>
      <c r="B677" s="2" t="str">
        <f>HYPERLINK("https://www.elsevier.com/locate/issn/0140-3664", "Computer Communications")</f>
        <v>Computer Communications</v>
      </c>
      <c r="C677" s="1" t="s">
        <v>10</v>
      </c>
      <c r="D677" s="1">
        <v>2620</v>
      </c>
      <c r="E677" s="1">
        <v>2450</v>
      </c>
      <c r="F677" s="1">
        <v>2100</v>
      </c>
      <c r="G677" s="1">
        <v>324960</v>
      </c>
    </row>
    <row r="678" spans="1:7" x14ac:dyDescent="0.25">
      <c r="A678" s="1" t="s">
        <v>893</v>
      </c>
      <c r="B678" s="2" t="str">
        <f>HYPERLINK("https://www.elsevier.com/locate/issn/0169-2607", "Computer Methods and Programs in Biomedicine")</f>
        <v>Computer Methods and Programs in Biomedicine</v>
      </c>
      <c r="C678" s="1" t="s">
        <v>10</v>
      </c>
      <c r="D678" s="1">
        <v>3350</v>
      </c>
      <c r="E678" s="1">
        <v>3130</v>
      </c>
      <c r="F678" s="1">
        <v>2680</v>
      </c>
      <c r="G678" s="1">
        <v>415500</v>
      </c>
    </row>
    <row r="679" spans="1:7" x14ac:dyDescent="0.25">
      <c r="A679" s="1" t="s">
        <v>894</v>
      </c>
      <c r="B679" s="2" t="str">
        <f>HYPERLINK("https://www.elsevier.com/locate/issn/2666-9900", "Computer Methods and Programs in Biomedicine Update")</f>
        <v>Computer Methods and Programs in Biomedicine Update</v>
      </c>
      <c r="C679" s="1" t="s">
        <v>23</v>
      </c>
      <c r="D679" s="1">
        <v>1870</v>
      </c>
      <c r="E679" s="1">
        <v>1750</v>
      </c>
      <c r="F679" s="1">
        <v>1500</v>
      </c>
      <c r="G679" s="1">
        <v>231940</v>
      </c>
    </row>
    <row r="680" spans="1:7" x14ac:dyDescent="0.25">
      <c r="A680" s="1" t="s">
        <v>895</v>
      </c>
      <c r="B680" s="2" t="str">
        <f>HYPERLINK("https://www.elsevier.com/locate/issn/0045-7825", "Computer Methods in Applied Mechanics and Engineering")</f>
        <v>Computer Methods in Applied Mechanics and Engineering</v>
      </c>
      <c r="C680" s="1" t="s">
        <v>10</v>
      </c>
      <c r="D680" s="1">
        <v>4830</v>
      </c>
      <c r="E680" s="1">
        <v>4520</v>
      </c>
      <c r="F680" s="1">
        <v>3870</v>
      </c>
      <c r="G680" s="1">
        <v>599060</v>
      </c>
    </row>
    <row r="681" spans="1:7" x14ac:dyDescent="0.25">
      <c r="A681" s="1" t="s">
        <v>896</v>
      </c>
      <c r="B681" s="2" t="str">
        <f>HYPERLINK("https://www.elsevier.com/locate/issn/1389-1286", "Computer Networks")</f>
        <v>Computer Networks</v>
      </c>
      <c r="C681" s="1" t="s">
        <v>10</v>
      </c>
      <c r="D681" s="1">
        <v>2460</v>
      </c>
      <c r="E681" s="1">
        <v>2300</v>
      </c>
      <c r="F681" s="1">
        <v>1970</v>
      </c>
      <c r="G681" s="1">
        <v>305110</v>
      </c>
    </row>
    <row r="682" spans="1:7" x14ac:dyDescent="0.25">
      <c r="A682" s="1" t="s">
        <v>897</v>
      </c>
      <c r="B682" s="2" t="str">
        <f>HYPERLINK("https://www.elsevier.com/locate/issn/0010-4655", "Computer Physics Communications")</f>
        <v>Computer Physics Communications</v>
      </c>
      <c r="C682" s="1" t="s">
        <v>10</v>
      </c>
      <c r="D682" s="1">
        <v>4160</v>
      </c>
      <c r="E682" s="1">
        <v>3890</v>
      </c>
      <c r="F682" s="1">
        <v>3330</v>
      </c>
      <c r="G682" s="1">
        <v>515960</v>
      </c>
    </row>
    <row r="683" spans="1:7" x14ac:dyDescent="0.25">
      <c r="A683" s="1" t="s">
        <v>898</v>
      </c>
      <c r="B683" s="2" t="str">
        <f>HYPERLINK("https://www.elsevier.com/locate/issn/1574-0137", "Computer Science Review")</f>
        <v>Computer Science Review</v>
      </c>
      <c r="C683" s="1" t="s">
        <v>10</v>
      </c>
      <c r="D683" s="1">
        <v>4190</v>
      </c>
      <c r="E683" s="1">
        <v>3920</v>
      </c>
      <c r="F683" s="1">
        <v>3350</v>
      </c>
      <c r="G683" s="1">
        <v>519690</v>
      </c>
    </row>
    <row r="684" spans="1:7" x14ac:dyDescent="0.25">
      <c r="A684" s="1" t="s">
        <v>899</v>
      </c>
      <c r="B684" s="2" t="str">
        <f>HYPERLINK("https://www.elsevier.com/locate/issn/0885-2308", "Computer Speech &amp; Language")</f>
        <v>Computer Speech &amp; Language</v>
      </c>
      <c r="C684" s="1" t="s">
        <v>10</v>
      </c>
      <c r="D684" s="1">
        <v>3530</v>
      </c>
      <c r="E684" s="1">
        <v>3300</v>
      </c>
      <c r="F684" s="1">
        <v>2830</v>
      </c>
      <c r="G684" s="1">
        <v>437830</v>
      </c>
    </row>
    <row r="685" spans="1:7" x14ac:dyDescent="0.25">
      <c r="A685" s="1" t="s">
        <v>900</v>
      </c>
      <c r="B685" s="2" t="str">
        <f>HYPERLINK("https://www.elsevier.com/locate/issn/0920-5489", "Computer Standards &amp; Interfaces")</f>
        <v>Computer Standards &amp; Interfaces</v>
      </c>
      <c r="C685" s="1" t="s">
        <v>10</v>
      </c>
      <c r="D685" s="1">
        <v>2670</v>
      </c>
      <c r="E685" s="1">
        <v>2500</v>
      </c>
      <c r="F685" s="1">
        <v>2140</v>
      </c>
      <c r="G685" s="1">
        <v>331160</v>
      </c>
    </row>
    <row r="686" spans="1:7" x14ac:dyDescent="0.25">
      <c r="A686" s="1" t="s">
        <v>901</v>
      </c>
      <c r="B686" s="2" t="str">
        <f>HYPERLINK("https://www.elsevier.com/locate/issn/1077-3142", "Computer Vision and Image Understanding")</f>
        <v>Computer Vision and Image Understanding</v>
      </c>
      <c r="C686" s="1" t="s">
        <v>10</v>
      </c>
      <c r="D686" s="1">
        <v>2090</v>
      </c>
      <c r="E686" s="1">
        <v>1960</v>
      </c>
      <c r="F686" s="1">
        <v>1670</v>
      </c>
      <c r="G686" s="1">
        <v>259220</v>
      </c>
    </row>
    <row r="687" spans="1:7" x14ac:dyDescent="0.25">
      <c r="A687" s="1" t="s">
        <v>902</v>
      </c>
      <c r="B687" s="2" t="str">
        <f>HYPERLINK("https://www.elsevier.com/locate/issn/0010-4485", "Computer-Aided Design")</f>
        <v>Computer-Aided Design</v>
      </c>
      <c r="C687" s="1" t="s">
        <v>10</v>
      </c>
      <c r="D687" s="1">
        <v>3140</v>
      </c>
      <c r="E687" s="1">
        <v>2940</v>
      </c>
      <c r="F687" s="1">
        <v>2510</v>
      </c>
      <c r="G687" s="1">
        <v>389450</v>
      </c>
    </row>
    <row r="688" spans="1:7" x14ac:dyDescent="0.25">
      <c r="A688" s="1" t="s">
        <v>903</v>
      </c>
      <c r="B688" s="2" t="str">
        <f>HYPERLINK("https://www.elsevier.com/locate/issn/0895-6111", "Computerized Medical Imaging and Graphics")</f>
        <v>Computerized Medical Imaging and Graphics</v>
      </c>
      <c r="C688" s="1" t="s">
        <v>10</v>
      </c>
      <c r="D688" s="1">
        <v>3180</v>
      </c>
      <c r="E688" s="1">
        <v>2970</v>
      </c>
      <c r="F688" s="1">
        <v>2550</v>
      </c>
      <c r="G688" s="1">
        <v>394420</v>
      </c>
    </row>
    <row r="689" spans="1:7" x14ac:dyDescent="0.25">
      <c r="A689" s="1" t="s">
        <v>904</v>
      </c>
      <c r="B689" s="2" t="str">
        <f>HYPERLINK("https://www.elsevier.com/locate/issn/0098-1354", "Computers &amp; Chemical Engineering")</f>
        <v>Computers &amp; Chemical Engineering</v>
      </c>
      <c r="C689" s="1" t="s">
        <v>10</v>
      </c>
      <c r="D689" s="1">
        <v>4050</v>
      </c>
      <c r="E689" s="1">
        <v>3790</v>
      </c>
      <c r="F689" s="1">
        <v>3240</v>
      </c>
      <c r="G689" s="1">
        <v>502320</v>
      </c>
    </row>
    <row r="690" spans="1:7" x14ac:dyDescent="0.25">
      <c r="A690" s="1" t="s">
        <v>905</v>
      </c>
      <c r="B690" s="2" t="str">
        <f>HYPERLINK("https://www.elsevier.com/locate/issn/0360-1315", "Computers &amp; Education")</f>
        <v>Computers &amp; Education</v>
      </c>
      <c r="C690" s="1" t="s">
        <v>10</v>
      </c>
      <c r="D690" s="1">
        <v>5190</v>
      </c>
      <c r="E690" s="1">
        <v>4860</v>
      </c>
      <c r="F690" s="1">
        <v>4150</v>
      </c>
      <c r="G690" s="1">
        <v>643720</v>
      </c>
    </row>
    <row r="691" spans="1:7" x14ac:dyDescent="0.25">
      <c r="A691" s="1" t="s">
        <v>906</v>
      </c>
      <c r="B691" s="2" t="str">
        <f>HYPERLINK("https://www.elsevier.com/locate/issn/2949-6780", "Computers &amp; Education: X Reality")</f>
        <v>Computers &amp; Education: X Reality</v>
      </c>
      <c r="C691" s="1" t="s">
        <v>23</v>
      </c>
      <c r="D691" s="1">
        <v>1850</v>
      </c>
      <c r="E691" s="1">
        <v>1730</v>
      </c>
      <c r="F691" s="1">
        <v>1480</v>
      </c>
      <c r="G691" s="1">
        <v>229460</v>
      </c>
    </row>
    <row r="692" spans="1:7" x14ac:dyDescent="0.25">
      <c r="A692" s="1" t="s">
        <v>907</v>
      </c>
      <c r="B692" s="2" t="str">
        <f>HYPERLINK("https://www.elsevier.com/locate/issn/0045-7906", "Computers &amp; Electrical Engineering")</f>
        <v>Computers &amp; Electrical Engineering</v>
      </c>
      <c r="C692" s="1" t="s">
        <v>10</v>
      </c>
      <c r="D692" s="1">
        <v>3280</v>
      </c>
      <c r="E692" s="1">
        <v>3070</v>
      </c>
      <c r="F692" s="1">
        <v>2630</v>
      </c>
      <c r="G692" s="1">
        <v>406820</v>
      </c>
    </row>
    <row r="693" spans="1:7" x14ac:dyDescent="0.25">
      <c r="A693" s="1" t="s">
        <v>908</v>
      </c>
      <c r="B693" s="2" t="str">
        <f>HYPERLINK("https://www.elsevier.com/locate/issn/0045-7930", "Computers &amp; Fluids")</f>
        <v>Computers &amp; Fluids</v>
      </c>
      <c r="C693" s="1" t="s">
        <v>10</v>
      </c>
      <c r="D693" s="1">
        <v>3700</v>
      </c>
      <c r="E693" s="1">
        <v>3460</v>
      </c>
      <c r="F693" s="1">
        <v>2960</v>
      </c>
      <c r="G693" s="1">
        <v>458910</v>
      </c>
    </row>
    <row r="694" spans="1:7" x14ac:dyDescent="0.25">
      <c r="A694" s="1" t="s">
        <v>909</v>
      </c>
      <c r="B694" s="2" t="str">
        <f>HYPERLINK("https://www.elsevier.com/locate/issn/0098-3004", "Computers &amp; Geosciences")</f>
        <v>Computers &amp; Geosciences</v>
      </c>
      <c r="C694" s="1" t="s">
        <v>10</v>
      </c>
      <c r="D694" s="1">
        <v>4010</v>
      </c>
      <c r="E694" s="1">
        <v>3750</v>
      </c>
      <c r="F694" s="1">
        <v>3210</v>
      </c>
      <c r="G694" s="1">
        <v>497360</v>
      </c>
    </row>
    <row r="695" spans="1:7" x14ac:dyDescent="0.25">
      <c r="A695" s="1" t="s">
        <v>910</v>
      </c>
      <c r="B695" s="2" t="str">
        <f>HYPERLINK("https://www.elsevier.com/locate/issn/0097-8493", "Computers &amp; Graphics")</f>
        <v>Computers &amp; Graphics</v>
      </c>
      <c r="C695" s="1" t="s">
        <v>10</v>
      </c>
      <c r="D695" s="1">
        <v>2770</v>
      </c>
      <c r="E695" s="1">
        <v>2590</v>
      </c>
      <c r="F695" s="1">
        <v>2220</v>
      </c>
      <c r="G695" s="1">
        <v>343560</v>
      </c>
    </row>
    <row r="696" spans="1:7" x14ac:dyDescent="0.25">
      <c r="A696" s="1" t="s">
        <v>911</v>
      </c>
      <c r="B696" s="2" t="str">
        <f>HYPERLINK("https://www.elsevier.com/locate/issn/0360-8352", "Computers &amp; Industrial Engineering")</f>
        <v>Computers &amp; Industrial Engineering</v>
      </c>
      <c r="C696" s="1" t="s">
        <v>10</v>
      </c>
      <c r="D696" s="1">
        <v>3790</v>
      </c>
      <c r="E696" s="1">
        <v>3550</v>
      </c>
      <c r="F696" s="1">
        <v>3030</v>
      </c>
      <c r="G696" s="1">
        <v>470070</v>
      </c>
    </row>
    <row r="697" spans="1:7" x14ac:dyDescent="0.25">
      <c r="A697" s="1" t="s">
        <v>912</v>
      </c>
      <c r="B697" s="2" t="str">
        <f>HYPERLINK("https://www.elsevier.com/locate/issn/0898-1221", "Computers &amp; Mathematics with Applications")</f>
        <v>Computers &amp; Mathematics with Applications</v>
      </c>
      <c r="C697" s="1" t="s">
        <v>10</v>
      </c>
      <c r="D697" s="1">
        <v>3170</v>
      </c>
      <c r="E697" s="1">
        <v>2970</v>
      </c>
      <c r="F697" s="1">
        <v>2540</v>
      </c>
      <c r="G697" s="1">
        <v>393180</v>
      </c>
    </row>
    <row r="698" spans="1:7" x14ac:dyDescent="0.25">
      <c r="A698" s="1" t="s">
        <v>913</v>
      </c>
      <c r="B698" s="2" t="str">
        <f>HYPERLINK("https://www.elsevier.com/locate/issn/0305-0548", "Computers &amp; Operations Research")</f>
        <v>Computers &amp; Operations Research</v>
      </c>
      <c r="C698" s="1" t="s">
        <v>10</v>
      </c>
      <c r="D698" s="1">
        <v>3570</v>
      </c>
      <c r="E698" s="1">
        <v>3340</v>
      </c>
      <c r="F698" s="1">
        <v>2860</v>
      </c>
      <c r="G698" s="1">
        <v>442790</v>
      </c>
    </row>
    <row r="699" spans="1:7" x14ac:dyDescent="0.25">
      <c r="A699" s="1" t="s">
        <v>914</v>
      </c>
      <c r="B699" s="2" t="str">
        <f>HYPERLINK("https://www.elsevier.com/locate/issn/0167-4048", "Computers &amp; Security")</f>
        <v>Computers &amp; Security</v>
      </c>
      <c r="C699" s="1" t="s">
        <v>10</v>
      </c>
      <c r="D699" s="1">
        <v>3100</v>
      </c>
      <c r="E699" s="1">
        <v>2900</v>
      </c>
      <c r="F699" s="1">
        <v>2480</v>
      </c>
      <c r="G699" s="1">
        <v>384490</v>
      </c>
    </row>
    <row r="700" spans="1:7" x14ac:dyDescent="0.25">
      <c r="A700" s="1" t="s">
        <v>915</v>
      </c>
      <c r="B700" s="2" t="str">
        <f>HYPERLINK("https://www.elsevier.com/locate/issn/0045-7949", "Computers &amp; Structures")</f>
        <v>Computers &amp; Structures</v>
      </c>
      <c r="C700" s="1" t="s">
        <v>10</v>
      </c>
      <c r="D700" s="1">
        <v>4200</v>
      </c>
      <c r="E700" s="1">
        <v>3930</v>
      </c>
      <c r="F700" s="1">
        <v>3360</v>
      </c>
      <c r="G700" s="1">
        <v>520930</v>
      </c>
    </row>
    <row r="701" spans="1:7" x14ac:dyDescent="0.25">
      <c r="A701" s="1" t="s">
        <v>916</v>
      </c>
      <c r="B701" s="2" t="str">
        <f>HYPERLINK("https://www.elsevier.com/locate/issn/8755-4615", "Computers and Composition")</f>
        <v>Computers and Composition</v>
      </c>
      <c r="C701" s="1" t="s">
        <v>10</v>
      </c>
      <c r="D701" s="1">
        <v>3860</v>
      </c>
      <c r="E701" s="1">
        <v>3610</v>
      </c>
      <c r="F701" s="1">
        <v>3090</v>
      </c>
      <c r="G701" s="1">
        <v>478760</v>
      </c>
    </row>
    <row r="702" spans="1:7" x14ac:dyDescent="0.25">
      <c r="A702" s="1" t="s">
        <v>917</v>
      </c>
      <c r="B702" s="2" t="str">
        <f>HYPERLINK("https://www.elsevier.com/locate/issn/2666-5573", "Computers and Education Open")</f>
        <v>Computers and Education Open</v>
      </c>
      <c r="C702" s="1" t="s">
        <v>23</v>
      </c>
      <c r="D702" s="1">
        <v>1390</v>
      </c>
      <c r="E702" s="1">
        <v>1300</v>
      </c>
      <c r="F702" s="1">
        <v>1110</v>
      </c>
      <c r="G702" s="1">
        <v>172400</v>
      </c>
    </row>
    <row r="703" spans="1:7" x14ac:dyDescent="0.25">
      <c r="A703" s="1" t="s">
        <v>918</v>
      </c>
      <c r="B703" s="2" t="str">
        <f>HYPERLINK("https://www.elsevier.com/locate/issn/2666-920X", "Computers and Education: Artificial Intelligence")</f>
        <v>Computers and Education: Artificial Intelligence</v>
      </c>
      <c r="C703" s="1" t="s">
        <v>23</v>
      </c>
      <c r="D703" s="1">
        <v>2500</v>
      </c>
      <c r="E703" s="1">
        <v>2340</v>
      </c>
      <c r="F703" s="1">
        <v>2000</v>
      </c>
      <c r="G703" s="1">
        <v>310080</v>
      </c>
    </row>
    <row r="704" spans="1:7" x14ac:dyDescent="0.25">
      <c r="A704" s="1" t="s">
        <v>919</v>
      </c>
      <c r="B704" s="2" t="str">
        <f>HYPERLINK("https://www.elsevier.com/locate/issn/0168-1699", "Computers and Electronics in Agriculture")</f>
        <v>Computers and Electronics in Agriculture</v>
      </c>
      <c r="C704" s="1" t="s">
        <v>10</v>
      </c>
      <c r="D704" s="1">
        <v>3870</v>
      </c>
      <c r="E704" s="1">
        <v>3620</v>
      </c>
      <c r="F704" s="1">
        <v>3100</v>
      </c>
      <c r="G704" s="1">
        <v>480000</v>
      </c>
    </row>
    <row r="705" spans="1:7" x14ac:dyDescent="0.25">
      <c r="A705" s="1" t="s">
        <v>920</v>
      </c>
      <c r="B705" s="2" t="str">
        <f>HYPERLINK("https://www.elsevier.com/locate/issn/0266-352X", "Computers and Geotechnics")</f>
        <v>Computers and Geotechnics</v>
      </c>
      <c r="C705" s="1" t="s">
        <v>10</v>
      </c>
      <c r="D705" s="1">
        <v>3640</v>
      </c>
      <c r="E705" s="1">
        <v>3410</v>
      </c>
      <c r="F705" s="1">
        <v>2910</v>
      </c>
      <c r="G705" s="1">
        <v>451470</v>
      </c>
    </row>
    <row r="706" spans="1:7" x14ac:dyDescent="0.25">
      <c r="A706" s="1" t="s">
        <v>921</v>
      </c>
      <c r="B706" s="2" t="str">
        <f>HYPERLINK("https://www.elsevier.com/locate/issn/0010-4825", "Computers in Biology and Medicine")</f>
        <v>Computers in Biology and Medicine</v>
      </c>
      <c r="C706" s="1" t="s">
        <v>10</v>
      </c>
      <c r="D706" s="1">
        <v>3080</v>
      </c>
      <c r="E706" s="1">
        <v>2880</v>
      </c>
      <c r="F706" s="1">
        <v>2470</v>
      </c>
      <c r="G706" s="1">
        <v>382010</v>
      </c>
    </row>
    <row r="707" spans="1:7" x14ac:dyDescent="0.25">
      <c r="A707" s="1" t="s">
        <v>922</v>
      </c>
      <c r="B707" s="2" t="str">
        <f>HYPERLINK("https://www.elsevier.com/locate/issn/0747-5632", "Computers in Human Behavior")</f>
        <v>Computers in Human Behavior</v>
      </c>
      <c r="C707" s="1" t="s">
        <v>10</v>
      </c>
      <c r="D707" s="1">
        <v>3780</v>
      </c>
      <c r="E707" s="1">
        <v>3540</v>
      </c>
      <c r="F707" s="1">
        <v>3030</v>
      </c>
      <c r="G707" s="1">
        <v>468830</v>
      </c>
    </row>
    <row r="708" spans="1:7" x14ac:dyDescent="0.25">
      <c r="A708" s="1" t="s">
        <v>923</v>
      </c>
      <c r="B708" s="2" t="str">
        <f>HYPERLINK("https://www.elsevier.com/locate/issn/2451-9588", "Computers in Human Behavior Reports")</f>
        <v>Computers in Human Behavior Reports</v>
      </c>
      <c r="C708" s="1" t="s">
        <v>23</v>
      </c>
      <c r="D708" s="1">
        <v>1880</v>
      </c>
      <c r="E708" s="1">
        <v>1760</v>
      </c>
      <c r="F708" s="1">
        <v>1510</v>
      </c>
      <c r="G708" s="1">
        <v>233180</v>
      </c>
    </row>
    <row r="709" spans="1:7" x14ac:dyDescent="0.25">
      <c r="A709" s="1" t="s">
        <v>924</v>
      </c>
      <c r="B709" s="2" t="str">
        <f>HYPERLINK("https://www.elsevier.com/locate/issn/2949-8821", "Computers in Human Behavior: Artificial Humans")</f>
        <v>Computers in Human Behavior: Artificial Humans</v>
      </c>
      <c r="C709" s="1" t="s">
        <v>23</v>
      </c>
      <c r="D709" s="1">
        <v>1540</v>
      </c>
      <c r="E709" s="1">
        <v>1440</v>
      </c>
      <c r="F709" s="1">
        <v>1230</v>
      </c>
      <c r="G709" s="1">
        <v>191010</v>
      </c>
    </row>
    <row r="710" spans="1:7" x14ac:dyDescent="0.25">
      <c r="A710" s="1" t="s">
        <v>925</v>
      </c>
      <c r="B710" s="2" t="str">
        <f>HYPERLINK("https://www.elsevier.com/locate/issn/0166-3615", "Computers in Industry")</f>
        <v>Computers in Industry</v>
      </c>
      <c r="C710" s="1" t="s">
        <v>10</v>
      </c>
      <c r="D710" s="1">
        <v>4080</v>
      </c>
      <c r="E710" s="1">
        <v>3820</v>
      </c>
      <c r="F710" s="1">
        <v>3270</v>
      </c>
      <c r="G710" s="1">
        <v>506040</v>
      </c>
    </row>
    <row r="711" spans="1:7" x14ac:dyDescent="0.25">
      <c r="A711" s="1" t="s">
        <v>926</v>
      </c>
      <c r="B711" s="2" t="str">
        <f>HYPERLINK("https://www.elsevier.com/locate/issn/1053-8100", "Consciousness and Cognition")</f>
        <v>Consciousness and Cognition</v>
      </c>
      <c r="C711" s="1" t="s">
        <v>10</v>
      </c>
      <c r="D711" s="1">
        <v>3210</v>
      </c>
      <c r="E711" s="1">
        <v>3000</v>
      </c>
      <c r="F711" s="1">
        <v>2570</v>
      </c>
      <c r="G711" s="1">
        <v>398140</v>
      </c>
    </row>
    <row r="712" spans="1:7" x14ac:dyDescent="0.25">
      <c r="A712" s="1" t="s">
        <v>927</v>
      </c>
      <c r="B712" s="2" t="str">
        <f>HYPERLINK("https://www.elsevier.com/locate/issn/0950-0618", "Construction and Building Materials")</f>
        <v>Construction and Building Materials</v>
      </c>
      <c r="C712" s="1" t="s">
        <v>10</v>
      </c>
      <c r="D712" s="1">
        <v>4540</v>
      </c>
      <c r="E712" s="1">
        <v>4250</v>
      </c>
      <c r="F712" s="1">
        <v>3630</v>
      </c>
      <c r="G712" s="1">
        <v>563100</v>
      </c>
    </row>
    <row r="713" spans="1:7" x14ac:dyDescent="0.25">
      <c r="A713" s="1" t="s">
        <v>928</v>
      </c>
      <c r="B713" s="2" t="str">
        <f>HYPERLINK("https://www.elsevier.com/locate/issn/1367-0484", "Contact Lens and Anterior Eye")</f>
        <v>Contact Lens and Anterior Eye</v>
      </c>
      <c r="C713" s="1" t="s">
        <v>10</v>
      </c>
      <c r="D713" s="1">
        <v>3740</v>
      </c>
      <c r="E713" s="1">
        <v>3500</v>
      </c>
      <c r="F713" s="1">
        <v>2990</v>
      </c>
      <c r="G713" s="1">
        <v>463870</v>
      </c>
    </row>
    <row r="714" spans="1:7" x14ac:dyDescent="0.25">
      <c r="A714" s="1" t="s">
        <v>929</v>
      </c>
      <c r="B714" s="2" t="str">
        <f>HYPERLINK("https://www.elsevier.com/locate/issn/1551-7144", "Contemporary Clinical Trials")</f>
        <v>Contemporary Clinical Trials</v>
      </c>
      <c r="C714" s="1" t="s">
        <v>10</v>
      </c>
      <c r="D714" s="1">
        <v>3140</v>
      </c>
      <c r="E714" s="1">
        <v>2940</v>
      </c>
      <c r="F714" s="1">
        <v>2510</v>
      </c>
      <c r="G714" s="1">
        <v>389450</v>
      </c>
    </row>
    <row r="715" spans="1:7" x14ac:dyDescent="0.25">
      <c r="A715" s="1" t="s">
        <v>930</v>
      </c>
      <c r="B715" s="2" t="str">
        <f>HYPERLINK("https://www.elsevier.com/locate/issn/2451-8654", "Contemporary Clinical Trials Communications")</f>
        <v>Contemporary Clinical Trials Communications</v>
      </c>
      <c r="C715" s="1" t="s">
        <v>23</v>
      </c>
      <c r="D715" s="1">
        <v>2320</v>
      </c>
      <c r="E715" s="1">
        <v>2170</v>
      </c>
      <c r="F715" s="1">
        <v>1860</v>
      </c>
      <c r="G715" s="1">
        <v>287750</v>
      </c>
    </row>
    <row r="716" spans="1:7" x14ac:dyDescent="0.25">
      <c r="A716" s="1" t="s">
        <v>931</v>
      </c>
      <c r="B716" s="2" t="str">
        <f>HYPERLINK("https://www.elsevier.com/locate/issn/0361-476X", "Contemporary Educational Psychology")</f>
        <v>Contemporary Educational Psychology</v>
      </c>
      <c r="C716" s="1" t="s">
        <v>10</v>
      </c>
      <c r="D716" s="1">
        <v>4720</v>
      </c>
      <c r="E716" s="1">
        <v>4420</v>
      </c>
      <c r="F716" s="1">
        <v>3780</v>
      </c>
      <c r="G716" s="1">
        <v>585420</v>
      </c>
    </row>
    <row r="717" spans="1:7" x14ac:dyDescent="0.25">
      <c r="A717" s="1" t="s">
        <v>932</v>
      </c>
      <c r="B717" s="2" t="str">
        <f>HYPERLINK("https://www.elsevier.com/locate/issn/2772-9737", "Continence")</f>
        <v>Continence</v>
      </c>
      <c r="C717" s="1" t="s">
        <v>23</v>
      </c>
      <c r="D717" s="1">
        <v>1800</v>
      </c>
      <c r="E717" s="1">
        <v>1680</v>
      </c>
      <c r="F717" s="1">
        <v>1440</v>
      </c>
      <c r="G717" s="1">
        <v>223250</v>
      </c>
    </row>
    <row r="718" spans="1:7" x14ac:dyDescent="0.25">
      <c r="A718" s="1" t="s">
        <v>933</v>
      </c>
      <c r="B718" s="2" t="str">
        <f>HYPERLINK("https://www.elsevier.com/locate/issn/2772-9745", "Continence Reports")</f>
        <v>Continence Reports</v>
      </c>
      <c r="C718" s="1" t="s">
        <v>23</v>
      </c>
      <c r="D718" s="1">
        <v>900</v>
      </c>
      <c r="E718" s="1">
        <v>840</v>
      </c>
      <c r="F718" s="1">
        <v>720</v>
      </c>
      <c r="G718" s="1">
        <v>111630</v>
      </c>
    </row>
    <row r="719" spans="1:7" x14ac:dyDescent="0.25">
      <c r="A719" s="1" t="s">
        <v>934</v>
      </c>
      <c r="B719" s="2" t="str">
        <f>HYPERLINK("https://www.elsevier.com/locate/issn/0278-4343", "Continental Shelf Research")</f>
        <v>Continental Shelf Research</v>
      </c>
      <c r="C719" s="1" t="s">
        <v>10</v>
      </c>
      <c r="D719" s="1">
        <v>3260</v>
      </c>
      <c r="E719" s="1">
        <v>3050</v>
      </c>
      <c r="F719" s="1">
        <v>2610</v>
      </c>
      <c r="G719" s="1">
        <v>404340</v>
      </c>
    </row>
    <row r="720" spans="1:7" x14ac:dyDescent="0.25">
      <c r="A720" s="1" t="s">
        <v>935</v>
      </c>
      <c r="B720" s="2" t="str">
        <f>HYPERLINK("https://www.elsevier.com/locate/issn/0010-7824", "Contraception")</f>
        <v>Contraception</v>
      </c>
      <c r="C720" s="1" t="s">
        <v>10</v>
      </c>
      <c r="D720" s="1">
        <v>3500</v>
      </c>
      <c r="E720" s="1">
        <v>3270</v>
      </c>
      <c r="F720" s="1">
        <v>2800</v>
      </c>
      <c r="G720" s="1">
        <v>434110</v>
      </c>
    </row>
    <row r="721" spans="1:7" x14ac:dyDescent="0.25">
      <c r="A721" s="1" t="s">
        <v>936</v>
      </c>
      <c r="B721" s="2" t="str">
        <f>HYPERLINK("https://www.elsevier.com/locate/issn/2590-1516", "Contraception: X")</f>
        <v>Contraception: X</v>
      </c>
      <c r="C721" s="1" t="s">
        <v>23</v>
      </c>
      <c r="D721" s="1">
        <v>2860</v>
      </c>
      <c r="E721" s="1">
        <v>2680</v>
      </c>
      <c r="F721" s="1">
        <v>2290</v>
      </c>
      <c r="G721" s="1">
        <v>354730</v>
      </c>
    </row>
    <row r="722" spans="1:7" x14ac:dyDescent="0.25">
      <c r="A722" s="1" t="s">
        <v>937</v>
      </c>
      <c r="B722" s="2" t="str">
        <f>HYPERLINK("https://www.elsevier.com/locate/issn/0967-0661", "Control Engineering Practice")</f>
        <v>Control Engineering Practice</v>
      </c>
      <c r="C722" s="1" t="s">
        <v>10</v>
      </c>
      <c r="D722" s="1">
        <v>3010</v>
      </c>
      <c r="E722" s="1">
        <v>2820</v>
      </c>
      <c r="F722" s="1">
        <v>2410</v>
      </c>
      <c r="G722" s="1">
        <v>373330</v>
      </c>
    </row>
    <row r="723" spans="1:7" x14ac:dyDescent="0.25">
      <c r="A723" s="1" t="s">
        <v>938</v>
      </c>
      <c r="B723" s="2" t="str">
        <f>HYPERLINK("https://www.elsevier.com/locate/issn/2950-4864", "Coordination Chemistry Research")</f>
        <v>Coordination Chemistry Research</v>
      </c>
      <c r="C723" s="1" t="s">
        <v>23</v>
      </c>
      <c r="D723" s="1">
        <v>1390</v>
      </c>
      <c r="E723" s="1">
        <v>1300</v>
      </c>
      <c r="F723" s="1">
        <v>1110</v>
      </c>
      <c r="G723" s="1">
        <v>172400</v>
      </c>
    </row>
    <row r="724" spans="1:7" x14ac:dyDescent="0.25">
      <c r="A724" s="1" t="s">
        <v>939</v>
      </c>
      <c r="B724" s="2" t="str">
        <f>HYPERLINK("https://www.elsevier.com/locate/issn/0010-8545", "Coordination Chemistry Reviews")</f>
        <v>Coordination Chemistry Reviews</v>
      </c>
      <c r="C724" s="1" t="s">
        <v>10</v>
      </c>
      <c r="D724" s="1">
        <v>5740</v>
      </c>
      <c r="E724" s="1">
        <v>5370</v>
      </c>
      <c r="F724" s="1">
        <v>4600</v>
      </c>
      <c r="G724" s="1">
        <v>711930</v>
      </c>
    </row>
    <row r="725" spans="1:7" x14ac:dyDescent="0.25">
      <c r="A725" s="1" t="s">
        <v>940</v>
      </c>
      <c r="B725" s="2" t="str">
        <f>HYPERLINK("https://www.elsevier.com/locate/issn/2667-2669", "Corrosion Communications")</f>
        <v>Corrosion Communications</v>
      </c>
      <c r="C725" s="1" t="s">
        <v>23</v>
      </c>
      <c r="D725" s="1">
        <v>1800</v>
      </c>
      <c r="E725" s="1">
        <v>1680</v>
      </c>
      <c r="F725" s="1">
        <v>1440</v>
      </c>
      <c r="G725" s="1">
        <v>223250</v>
      </c>
    </row>
    <row r="726" spans="1:7" x14ac:dyDescent="0.25">
      <c r="A726" s="1" t="s">
        <v>941</v>
      </c>
      <c r="B726" s="2" t="str">
        <f>HYPERLINK("https://www.elsevier.com/locate/issn/0010-938X", "Corrosion Science")</f>
        <v>Corrosion Science</v>
      </c>
      <c r="C726" s="1" t="s">
        <v>10</v>
      </c>
      <c r="D726" s="1">
        <v>4070</v>
      </c>
      <c r="E726" s="1">
        <v>3810</v>
      </c>
      <c r="F726" s="1">
        <v>3260</v>
      </c>
      <c r="G726" s="1">
        <v>504800</v>
      </c>
    </row>
    <row r="727" spans="1:7" x14ac:dyDescent="0.25">
      <c r="A727" s="1" t="s">
        <v>942</v>
      </c>
      <c r="B727" s="2" t="str">
        <f>HYPERLINK("https://www.elsevier.com/locate/issn/0010-9452", "Cortex")</f>
        <v>Cortex</v>
      </c>
      <c r="C727" s="1" t="s">
        <v>10</v>
      </c>
      <c r="D727" s="1">
        <v>3830</v>
      </c>
      <c r="E727" s="1">
        <v>3580</v>
      </c>
      <c r="F727" s="1">
        <v>3070</v>
      </c>
      <c r="G727" s="1">
        <v>475030</v>
      </c>
    </row>
    <row r="728" spans="1:7" x14ac:dyDescent="0.25">
      <c r="A728" s="1" t="s">
        <v>943</v>
      </c>
      <c r="B728" s="2" t="str">
        <f>HYPERLINK("https://www.elsevier.com/locate/issn/0195-6671", "Cretaceous Research")</f>
        <v>Cretaceous Research</v>
      </c>
      <c r="C728" s="1" t="s">
        <v>10</v>
      </c>
      <c r="D728" s="1">
        <v>3560</v>
      </c>
      <c r="E728" s="1">
        <v>3330</v>
      </c>
      <c r="F728" s="1">
        <v>2850</v>
      </c>
      <c r="G728" s="1">
        <v>441550</v>
      </c>
    </row>
    <row r="729" spans="1:7" x14ac:dyDescent="0.25">
      <c r="A729" s="1" t="s">
        <v>944</v>
      </c>
      <c r="B729" s="2" t="str">
        <f>HYPERLINK("https://www.elsevier.com/locate/issn/1441-2772", "Critical Care and Resuscitation")</f>
        <v>Critical Care and Resuscitation</v>
      </c>
      <c r="C729" s="1" t="s">
        <v>23</v>
      </c>
      <c r="D729" s="1">
        <v>2300</v>
      </c>
      <c r="E729" s="1">
        <v>2150</v>
      </c>
      <c r="F729" s="1">
        <v>1840</v>
      </c>
      <c r="G729" s="1">
        <v>285270</v>
      </c>
    </row>
    <row r="730" spans="1:7" x14ac:dyDescent="0.25">
      <c r="A730" s="1" t="s">
        <v>945</v>
      </c>
      <c r="B730" s="2" t="str">
        <f>HYPERLINK("https://www.elsevier.com/locate/issn/1045-2354", "Critical Perspectives on Accounting")</f>
        <v>Critical Perspectives on Accounting</v>
      </c>
      <c r="C730" s="1" t="s">
        <v>10</v>
      </c>
      <c r="D730" s="1">
        <v>4460</v>
      </c>
      <c r="E730" s="1">
        <v>4170</v>
      </c>
      <c r="F730" s="1">
        <v>3570</v>
      </c>
      <c r="G730" s="1">
        <v>553170</v>
      </c>
    </row>
    <row r="731" spans="1:7" x14ac:dyDescent="0.25">
      <c r="A731" s="1" t="s">
        <v>946</v>
      </c>
      <c r="B731" s="2" t="str">
        <f>HYPERLINK("https://www.elsevier.com/locate/issn/1040-8428", "Critical Reviews in Oncology/Hematology")</f>
        <v>Critical Reviews in Oncology/Hematology</v>
      </c>
      <c r="C731" s="1" t="s">
        <v>10</v>
      </c>
      <c r="D731" s="1">
        <v>4190</v>
      </c>
      <c r="E731" s="1">
        <v>3920</v>
      </c>
      <c r="F731" s="1">
        <v>3350</v>
      </c>
      <c r="G731" s="1">
        <v>519690</v>
      </c>
    </row>
    <row r="732" spans="1:7" x14ac:dyDescent="0.25">
      <c r="A732" s="1" t="s">
        <v>947</v>
      </c>
      <c r="B732" s="2" t="str">
        <f>HYPERLINK("https://www.elsevier.com/locate/issn/2773-126X", "Crop and Environment")</f>
        <v>Crop and Environment</v>
      </c>
      <c r="C732" s="1" t="s">
        <v>23</v>
      </c>
      <c r="D732" s="1">
        <v>2100</v>
      </c>
      <c r="E732" s="1">
        <v>1960</v>
      </c>
      <c r="F732" s="1">
        <v>1680</v>
      </c>
      <c r="G732" s="1">
        <v>260460</v>
      </c>
    </row>
    <row r="733" spans="1:7" x14ac:dyDescent="0.25">
      <c r="A733" s="1" t="s">
        <v>948</v>
      </c>
      <c r="B733" s="2" t="str">
        <f>HYPERLINK("https://www.elsevier.com/locate/issn/2772-8994", "Crop Design")</f>
        <v>Crop Design</v>
      </c>
      <c r="C733" s="1" t="s">
        <v>23</v>
      </c>
      <c r="D733" s="1">
        <v>1600</v>
      </c>
      <c r="E733" s="1">
        <v>1500</v>
      </c>
      <c r="F733" s="1">
        <v>1280</v>
      </c>
      <c r="G733" s="1">
        <v>198450</v>
      </c>
    </row>
    <row r="734" spans="1:7" x14ac:dyDescent="0.25">
      <c r="A734" s="1" t="s">
        <v>949</v>
      </c>
      <c r="B734" s="2" t="str">
        <f>HYPERLINK("https://www.elsevier.com/locate/issn/0261-2194", "Crop Protection")</f>
        <v>Crop Protection</v>
      </c>
      <c r="C734" s="1" t="s">
        <v>10</v>
      </c>
      <c r="D734" s="1">
        <v>4360</v>
      </c>
      <c r="E734" s="1">
        <v>4080</v>
      </c>
      <c r="F734" s="1">
        <v>3490</v>
      </c>
      <c r="G734" s="1">
        <v>540770</v>
      </c>
    </row>
    <row r="735" spans="1:7" x14ac:dyDescent="0.25">
      <c r="A735" s="1" t="s">
        <v>950</v>
      </c>
      <c r="B735" s="2" t="str">
        <f>HYPERLINK("https://www.elsevier.com/locate/issn/0011-2240", "Cryobiology")</f>
        <v>Cryobiology</v>
      </c>
      <c r="C735" s="1" t="s">
        <v>10</v>
      </c>
      <c r="D735" s="1">
        <v>3870</v>
      </c>
      <c r="E735" s="1">
        <v>3620</v>
      </c>
      <c r="F735" s="1">
        <v>3100</v>
      </c>
      <c r="G735" s="1">
        <v>480000</v>
      </c>
    </row>
    <row r="736" spans="1:7" x14ac:dyDescent="0.25">
      <c r="A736" s="1" t="s">
        <v>951</v>
      </c>
      <c r="B736" s="2" t="str">
        <f>HYPERLINK("https://www.elsevier.com/locate/issn/0011-2275", "Cryogenics")</f>
        <v>Cryogenics</v>
      </c>
      <c r="C736" s="1" t="s">
        <v>10</v>
      </c>
      <c r="D736" s="1">
        <v>2980</v>
      </c>
      <c r="E736" s="1">
        <v>2790</v>
      </c>
      <c r="F736" s="1">
        <v>2390</v>
      </c>
      <c r="G736" s="1">
        <v>369610</v>
      </c>
    </row>
    <row r="737" spans="1:7" x14ac:dyDescent="0.25">
      <c r="A737" s="1" t="s">
        <v>952</v>
      </c>
      <c r="B737" s="2" t="str">
        <f>HYPERLINK("https://www.elsevier.com/locate/issn/1567-1739", "Current Applied Physics")</f>
        <v>Current Applied Physics</v>
      </c>
      <c r="C737" s="1" t="s">
        <v>10</v>
      </c>
      <c r="D737" s="1">
        <v>2640</v>
      </c>
      <c r="E737" s="1">
        <v>2470</v>
      </c>
      <c r="F737" s="1">
        <v>2110</v>
      </c>
      <c r="G737" s="1">
        <v>327440</v>
      </c>
    </row>
    <row r="738" spans="1:7" x14ac:dyDescent="0.25">
      <c r="A738" s="1" t="s">
        <v>953</v>
      </c>
      <c r="B738" s="2" t="str">
        <f>HYPERLINK("https://www.elsevier.com/locate/issn/0960-9822", "Current Biology")</f>
        <v>Current Biology</v>
      </c>
      <c r="C738" s="1" t="s">
        <v>10</v>
      </c>
      <c r="D738" s="1">
        <v>7030</v>
      </c>
      <c r="E738" s="1">
        <v>6510</v>
      </c>
      <c r="F738" s="1">
        <v>5630</v>
      </c>
      <c r="G738" s="1">
        <v>871930</v>
      </c>
    </row>
    <row r="739" spans="1:7" x14ac:dyDescent="0.25">
      <c r="A739" s="1" t="s">
        <v>954</v>
      </c>
      <c r="B739" s="2" t="str">
        <f>HYPERLINK("https://www.elsevier.com/locate/issn/2475-2991", "Current Developments in Nutrition")</f>
        <v>Current Developments in Nutrition</v>
      </c>
      <c r="C739" s="1" t="s">
        <v>23</v>
      </c>
      <c r="D739" s="1">
        <v>5000</v>
      </c>
      <c r="E739" s="1">
        <v>4680</v>
      </c>
      <c r="F739" s="1">
        <v>4000</v>
      </c>
      <c r="G739" s="1">
        <v>620150</v>
      </c>
    </row>
    <row r="740" spans="1:7" x14ac:dyDescent="0.25">
      <c r="A740" s="1" t="s">
        <v>955</v>
      </c>
      <c r="B740" s="2" t="str">
        <f>HYPERLINK("https://www.elsevier.com/locate/issn/2352-1546", "Current Opinion in Behavioral Sciences")</f>
        <v>Current Opinion in Behavioral Sciences</v>
      </c>
      <c r="C740" s="1" t="s">
        <v>10</v>
      </c>
      <c r="D740" s="1">
        <v>4360</v>
      </c>
      <c r="E740" s="1">
        <v>4080</v>
      </c>
      <c r="F740" s="1">
        <v>3490</v>
      </c>
      <c r="G740" s="1">
        <v>540770</v>
      </c>
    </row>
    <row r="741" spans="1:7" x14ac:dyDescent="0.25">
      <c r="A741" s="1" t="s">
        <v>956</v>
      </c>
      <c r="B741" s="2" t="str">
        <f>HYPERLINK("https://www.elsevier.com/locate/issn/2468-4511", "Current Opinion in Biomedical Engineering")</f>
        <v>Current Opinion in Biomedical Engineering</v>
      </c>
      <c r="C741" s="1" t="s">
        <v>10</v>
      </c>
      <c r="D741" s="1">
        <v>3830</v>
      </c>
      <c r="E741" s="1">
        <v>3580</v>
      </c>
      <c r="F741" s="1">
        <v>3070</v>
      </c>
      <c r="G741" s="1">
        <v>475030</v>
      </c>
    </row>
    <row r="742" spans="1:7" x14ac:dyDescent="0.25">
      <c r="A742" s="1" t="s">
        <v>957</v>
      </c>
      <c r="B742" s="2" t="str">
        <f>HYPERLINK("https://www.elsevier.com/locate/issn/0958-1669", "Current Opinion in Biotechnology")</f>
        <v>Current Opinion in Biotechnology</v>
      </c>
      <c r="C742" s="1" t="s">
        <v>10</v>
      </c>
      <c r="D742" s="1">
        <v>4530</v>
      </c>
      <c r="E742" s="1">
        <v>4240</v>
      </c>
      <c r="F742" s="1">
        <v>3630</v>
      </c>
      <c r="G742" s="1">
        <v>561860</v>
      </c>
    </row>
    <row r="743" spans="1:7" x14ac:dyDescent="0.25">
      <c r="A743" s="1" t="s">
        <v>958</v>
      </c>
      <c r="B743" s="2" t="str">
        <f>HYPERLINK("https://www.elsevier.com/locate/issn/0955-0674", "Current Opinion in Cell Biology")</f>
        <v>Current Opinion in Cell Biology</v>
      </c>
      <c r="C743" s="1" t="s">
        <v>10</v>
      </c>
      <c r="D743" s="1">
        <v>4390</v>
      </c>
      <c r="E743" s="1">
        <v>4110</v>
      </c>
      <c r="F743" s="1">
        <v>3510</v>
      </c>
      <c r="G743" s="1">
        <v>544490</v>
      </c>
    </row>
    <row r="744" spans="1:7" x14ac:dyDescent="0.25">
      <c r="A744" s="1" t="s">
        <v>959</v>
      </c>
      <c r="B744" s="2" t="str">
        <f>HYPERLINK("https://www.elsevier.com/locate/issn/1367-5931", "Current Opinion in Chemical Biology")</f>
        <v>Current Opinion in Chemical Biology</v>
      </c>
      <c r="C744" s="1" t="s">
        <v>10</v>
      </c>
      <c r="D744" s="1">
        <v>4510</v>
      </c>
      <c r="E744" s="1">
        <v>4220</v>
      </c>
      <c r="F744" s="1">
        <v>3610</v>
      </c>
      <c r="G744" s="1">
        <v>559380</v>
      </c>
    </row>
    <row r="745" spans="1:7" x14ac:dyDescent="0.25">
      <c r="A745" s="1" t="s">
        <v>960</v>
      </c>
      <c r="B745" s="2" t="str">
        <f>HYPERLINK("https://www.elsevier.com/locate/issn/2211-3398", "Current Opinion in Chemical Engineering")</f>
        <v>Current Opinion in Chemical Engineering</v>
      </c>
      <c r="C745" s="1" t="s">
        <v>10</v>
      </c>
      <c r="D745" s="1">
        <v>4250</v>
      </c>
      <c r="E745" s="1">
        <v>3980</v>
      </c>
      <c r="F745" s="1">
        <v>3400</v>
      </c>
      <c r="G745" s="1">
        <v>527130</v>
      </c>
    </row>
    <row r="746" spans="1:7" x14ac:dyDescent="0.25">
      <c r="A746" s="1" t="s">
        <v>961</v>
      </c>
      <c r="B746" s="2" t="str">
        <f>HYPERLINK("https://www.elsevier.com/locate/issn/1359-0294", "Current Opinion in Colloid &amp; Interface Science")</f>
        <v>Current Opinion in Colloid &amp; Interface Science</v>
      </c>
      <c r="C746" s="1" t="s">
        <v>10</v>
      </c>
      <c r="D746" s="1">
        <v>4210</v>
      </c>
      <c r="E746" s="1">
        <v>3940</v>
      </c>
      <c r="F746" s="1">
        <v>3370</v>
      </c>
      <c r="G746" s="1">
        <v>522170</v>
      </c>
    </row>
    <row r="747" spans="1:7" x14ac:dyDescent="0.25">
      <c r="A747" s="1" t="s">
        <v>962</v>
      </c>
      <c r="B747" s="2" t="str">
        <f>HYPERLINK("https://www.elsevier.com/locate/issn/2451-9103", "Current Opinion in Electrochemistry")</f>
        <v>Current Opinion in Electrochemistry</v>
      </c>
      <c r="C747" s="1" t="s">
        <v>10</v>
      </c>
      <c r="D747" s="1">
        <v>3630</v>
      </c>
      <c r="E747" s="1">
        <v>3400</v>
      </c>
      <c r="F747" s="1">
        <v>2910</v>
      </c>
      <c r="G747" s="1">
        <v>450230</v>
      </c>
    </row>
    <row r="748" spans="1:7" x14ac:dyDescent="0.25">
      <c r="A748" s="1" t="s">
        <v>963</v>
      </c>
      <c r="B748" s="2" t="str">
        <f>HYPERLINK("https://www.elsevier.com/locate/issn/2451-9650", "Current Opinion in Endocrine and Metabolic Research")</f>
        <v>Current Opinion in Endocrine and Metabolic Research</v>
      </c>
      <c r="C748" s="1" t="s">
        <v>10</v>
      </c>
      <c r="D748" s="1">
        <v>3320</v>
      </c>
      <c r="E748" s="1">
        <v>3220</v>
      </c>
      <c r="F748" s="1">
        <v>2750</v>
      </c>
      <c r="G748" s="1">
        <v>426660</v>
      </c>
    </row>
    <row r="749" spans="1:7" x14ac:dyDescent="0.25">
      <c r="A749" s="1" t="s">
        <v>964</v>
      </c>
      <c r="B749" s="2" t="str">
        <f>HYPERLINK("https://www.elsevier.com/locate/issn/2468-5844", "Current Opinion in Environmental Science &amp; Health")</f>
        <v>Current Opinion in Environmental Science &amp; Health</v>
      </c>
      <c r="C749" s="1" t="s">
        <v>10</v>
      </c>
      <c r="D749" s="1">
        <v>3700</v>
      </c>
      <c r="E749" s="1">
        <v>3570</v>
      </c>
      <c r="F749" s="1">
        <v>3050</v>
      </c>
      <c r="G749" s="1">
        <v>473790</v>
      </c>
    </row>
    <row r="750" spans="1:7" x14ac:dyDescent="0.25">
      <c r="A750" s="1" t="s">
        <v>965</v>
      </c>
      <c r="B750" s="2" t="str">
        <f>HYPERLINK("https://www.elsevier.com/locate/issn/1877-3435", "Current Opinion in Environmental Sustainability")</f>
        <v>Current Opinion in Environmental Sustainability</v>
      </c>
      <c r="C750" s="1" t="s">
        <v>10</v>
      </c>
      <c r="D750" s="1">
        <v>4200</v>
      </c>
      <c r="E750" s="1">
        <v>3930</v>
      </c>
      <c r="F750" s="1">
        <v>3360</v>
      </c>
      <c r="G750" s="1">
        <v>520930</v>
      </c>
    </row>
    <row r="751" spans="1:7" x14ac:dyDescent="0.25">
      <c r="A751" s="1" t="s">
        <v>966</v>
      </c>
      <c r="B751" s="2" t="str">
        <f>HYPERLINK("https://www.elsevier.com/locate/issn/2214-7993", "Current Opinion in Food Science")</f>
        <v>Current Opinion in Food Science</v>
      </c>
      <c r="C751" s="1" t="s">
        <v>10</v>
      </c>
      <c r="D751" s="1">
        <v>4610</v>
      </c>
      <c r="E751" s="1">
        <v>4310</v>
      </c>
      <c r="F751" s="1">
        <v>3690</v>
      </c>
      <c r="G751" s="1">
        <v>571780</v>
      </c>
    </row>
    <row r="752" spans="1:7" x14ac:dyDescent="0.25">
      <c r="A752" s="1" t="s">
        <v>967</v>
      </c>
      <c r="B752" s="2" t="str">
        <f>HYPERLINK("https://www.elsevier.com/locate/issn/0959-437X", "Current Opinion in Genetics &amp; Development")</f>
        <v>Current Opinion in Genetics &amp; Development</v>
      </c>
      <c r="C752" s="1" t="s">
        <v>10</v>
      </c>
      <c r="D752" s="1">
        <v>4200</v>
      </c>
      <c r="E752" s="1">
        <v>3930</v>
      </c>
      <c r="F752" s="1">
        <v>3360</v>
      </c>
      <c r="G752" s="1">
        <v>520930</v>
      </c>
    </row>
    <row r="753" spans="1:7" x14ac:dyDescent="0.25">
      <c r="A753" s="1" t="s">
        <v>968</v>
      </c>
      <c r="B753" s="2" t="str">
        <f>HYPERLINK("https://www.elsevier.com/locate/issn/2452-2236", "Current Opinion in Green and Sustainable Chemistry")</f>
        <v>Current Opinion in Green and Sustainable Chemistry</v>
      </c>
      <c r="C753" s="1" t="s">
        <v>10</v>
      </c>
      <c r="D753" s="1">
        <v>3980</v>
      </c>
      <c r="E753" s="1">
        <v>3720</v>
      </c>
      <c r="F753" s="1">
        <v>3190</v>
      </c>
      <c r="G753" s="1">
        <v>493640</v>
      </c>
    </row>
    <row r="754" spans="1:7" x14ac:dyDescent="0.25">
      <c r="A754" s="1" t="s">
        <v>969</v>
      </c>
      <c r="B754" s="2" t="str">
        <f>HYPERLINK("https://www.elsevier.com/locate/issn/0952-7915", "Current Opinion in Immunology")</f>
        <v>Current Opinion in Immunology</v>
      </c>
      <c r="C754" s="1" t="s">
        <v>10</v>
      </c>
      <c r="D754" s="1">
        <v>4410</v>
      </c>
      <c r="E754" s="1">
        <v>4130</v>
      </c>
      <c r="F754" s="1">
        <v>3530</v>
      </c>
      <c r="G754" s="1">
        <v>546970</v>
      </c>
    </row>
    <row r="755" spans="1:7" x14ac:dyDescent="0.25">
      <c r="A755" s="1" t="s">
        <v>970</v>
      </c>
      <c r="B755" s="2" t="str">
        <f>HYPERLINK("https://www.elsevier.com/locate/issn/2214-5745", "Current Opinion in Insect Science")</f>
        <v>Current Opinion in Insect Science</v>
      </c>
      <c r="C755" s="1" t="s">
        <v>10</v>
      </c>
      <c r="D755" s="1">
        <v>4610</v>
      </c>
      <c r="E755" s="1">
        <v>4310</v>
      </c>
      <c r="F755" s="1">
        <v>3690</v>
      </c>
      <c r="G755" s="1">
        <v>571780</v>
      </c>
    </row>
    <row r="756" spans="1:7" x14ac:dyDescent="0.25">
      <c r="A756" s="1" t="s">
        <v>971</v>
      </c>
      <c r="B756" s="2" t="str">
        <f>HYPERLINK("https://www.elsevier.com/locate/issn/1369-5274", "Current Opinion in Microbiology")</f>
        <v>Current Opinion in Microbiology</v>
      </c>
      <c r="C756" s="1" t="s">
        <v>10</v>
      </c>
      <c r="D756" s="1">
        <v>3800</v>
      </c>
      <c r="E756" s="1">
        <v>3550</v>
      </c>
      <c r="F756" s="1">
        <v>3040</v>
      </c>
      <c r="G756" s="1">
        <v>471310</v>
      </c>
    </row>
    <row r="757" spans="1:7" x14ac:dyDescent="0.25">
      <c r="A757" s="1" t="s">
        <v>972</v>
      </c>
      <c r="B757" s="2" t="str">
        <f>HYPERLINK("https://www.elsevier.com/locate/issn/0959-4388", "Current Opinion in Neurobiology")</f>
        <v>Current Opinion in Neurobiology</v>
      </c>
      <c r="C757" s="1" t="s">
        <v>10</v>
      </c>
      <c r="D757" s="1">
        <v>4320</v>
      </c>
      <c r="E757" s="1">
        <v>4040</v>
      </c>
      <c r="F757" s="1">
        <v>3460</v>
      </c>
      <c r="G757" s="1">
        <v>535810</v>
      </c>
    </row>
    <row r="758" spans="1:7" x14ac:dyDescent="0.25">
      <c r="A758" s="1" t="s">
        <v>973</v>
      </c>
      <c r="B758" s="2" t="str">
        <f>HYPERLINK("https://www.elsevier.com/locate/issn/1471-4892", "Current Opinion in Pharmacology")</f>
        <v>Current Opinion in Pharmacology</v>
      </c>
      <c r="C758" s="1" t="s">
        <v>10</v>
      </c>
      <c r="D758" s="1">
        <v>3510</v>
      </c>
      <c r="E758" s="1">
        <v>3280</v>
      </c>
      <c r="F758" s="1">
        <v>2810</v>
      </c>
      <c r="G758" s="1">
        <v>435350</v>
      </c>
    </row>
    <row r="759" spans="1:7" x14ac:dyDescent="0.25">
      <c r="A759" s="1" t="s">
        <v>974</v>
      </c>
      <c r="B759" s="2" t="str">
        <f>HYPERLINK("https://www.elsevier.com/locate/issn/2468-8673", "Current Opinion in Physiology")</f>
        <v>Current Opinion in Physiology</v>
      </c>
      <c r="C759" s="1" t="s">
        <v>10</v>
      </c>
      <c r="D759" s="1">
        <v>3500</v>
      </c>
      <c r="E759" s="1">
        <v>3380</v>
      </c>
      <c r="F759" s="1">
        <v>2890</v>
      </c>
      <c r="G759" s="1">
        <v>447750</v>
      </c>
    </row>
    <row r="760" spans="1:7" x14ac:dyDescent="0.25">
      <c r="A760" s="1" t="s">
        <v>975</v>
      </c>
      <c r="B760" s="2" t="str">
        <f>HYPERLINK("https://www.elsevier.com/locate/issn/1369-5266", "Current Opinion in Plant Biology")</f>
        <v>Current Opinion in Plant Biology</v>
      </c>
      <c r="C760" s="1" t="s">
        <v>10</v>
      </c>
      <c r="D760" s="1">
        <v>4810</v>
      </c>
      <c r="E760" s="1">
        <v>4500</v>
      </c>
      <c r="F760" s="1">
        <v>3850</v>
      </c>
      <c r="G760" s="1">
        <v>596580</v>
      </c>
    </row>
    <row r="761" spans="1:7" x14ac:dyDescent="0.25">
      <c r="A761" s="1" t="s">
        <v>976</v>
      </c>
      <c r="B761" s="2" t="str">
        <f>HYPERLINK("https://www.elsevier.com/locate/issn/2352-250X", "Current Opinion in Psychology")</f>
        <v>Current Opinion in Psychology</v>
      </c>
      <c r="C761" s="1" t="s">
        <v>10</v>
      </c>
      <c r="D761" s="1">
        <v>4260</v>
      </c>
      <c r="E761" s="1">
        <v>3990</v>
      </c>
      <c r="F761" s="1">
        <v>3410</v>
      </c>
      <c r="G761" s="1">
        <v>528370</v>
      </c>
    </row>
    <row r="762" spans="1:7" x14ac:dyDescent="0.25">
      <c r="A762" s="1" t="s">
        <v>977</v>
      </c>
      <c r="B762" s="2" t="str">
        <f>HYPERLINK("https://www.elsevier.com/locate/issn/1359-0286", "Current Opinion in Solid State and Materials Science")</f>
        <v>Current Opinion in Solid State and Materials Science</v>
      </c>
      <c r="C762" s="1" t="s">
        <v>10</v>
      </c>
      <c r="D762" s="1">
        <v>4340</v>
      </c>
      <c r="E762" s="1">
        <v>4060</v>
      </c>
      <c r="F762" s="1">
        <v>3470</v>
      </c>
      <c r="G762" s="1">
        <v>538290</v>
      </c>
    </row>
    <row r="763" spans="1:7" x14ac:dyDescent="0.25">
      <c r="A763" s="1" t="s">
        <v>978</v>
      </c>
      <c r="B763" s="2" t="str">
        <f>HYPERLINK("https://www.elsevier.com/locate/issn/0959-440X", "Current Opinion in Structural Biology")</f>
        <v>Current Opinion in Structural Biology</v>
      </c>
      <c r="C763" s="1" t="s">
        <v>10</v>
      </c>
      <c r="D763" s="1">
        <v>4360</v>
      </c>
      <c r="E763" s="1">
        <v>4080</v>
      </c>
      <c r="F763" s="1">
        <v>3490</v>
      </c>
      <c r="G763" s="1">
        <v>540770</v>
      </c>
    </row>
    <row r="764" spans="1:7" x14ac:dyDescent="0.25">
      <c r="A764" s="1" t="s">
        <v>979</v>
      </c>
      <c r="B764" s="2" t="str">
        <f>HYPERLINK("https://www.elsevier.com/locate/issn/2452-3100", "Current Opinion in Systems Biology")</f>
        <v>Current Opinion in Systems Biology</v>
      </c>
      <c r="C764" s="1" t="s">
        <v>10</v>
      </c>
      <c r="D764" s="1">
        <v>4170</v>
      </c>
      <c r="E764" s="1">
        <v>3900</v>
      </c>
      <c r="F764" s="1">
        <v>3340</v>
      </c>
      <c r="G764" s="1">
        <v>517210</v>
      </c>
    </row>
    <row r="765" spans="1:7" x14ac:dyDescent="0.25">
      <c r="A765" s="1" t="s">
        <v>980</v>
      </c>
      <c r="B765" s="2" t="str">
        <f>HYPERLINK("https://www.elsevier.com/locate/issn/2468-2020", "Current Opinion in Toxicology")</f>
        <v>Current Opinion in Toxicology</v>
      </c>
      <c r="C765" s="1" t="s">
        <v>10</v>
      </c>
      <c r="D765" s="1">
        <v>4240</v>
      </c>
      <c r="E765" s="1">
        <v>4130</v>
      </c>
      <c r="F765" s="1">
        <v>3540</v>
      </c>
      <c r="G765" s="1">
        <v>548210</v>
      </c>
    </row>
    <row r="766" spans="1:7" x14ac:dyDescent="0.25">
      <c r="A766" s="1" t="s">
        <v>981</v>
      </c>
      <c r="B766" s="2" t="str">
        <f>HYPERLINK("https://www.elsevier.com/locate/issn/1879-6257", "Current Opinion in Virology")</f>
        <v>Current Opinion in Virology</v>
      </c>
      <c r="C766" s="1" t="s">
        <v>10</v>
      </c>
      <c r="D766" s="1">
        <v>3690</v>
      </c>
      <c r="E766" s="1">
        <v>3450</v>
      </c>
      <c r="F766" s="1">
        <v>2950</v>
      </c>
      <c r="G766" s="1">
        <v>457670</v>
      </c>
    </row>
    <row r="767" spans="1:7" x14ac:dyDescent="0.25">
      <c r="A767" s="1" t="s">
        <v>982</v>
      </c>
      <c r="B767" s="2" t="str">
        <f>HYPERLINK("https://www.elsevier.com/locate/issn/1573-4129", "Current Pharmaceutical Analysis")</f>
        <v>Current Pharmaceutical Analysis</v>
      </c>
      <c r="C767" s="1" t="s">
        <v>34</v>
      </c>
      <c r="D767" s="1" t="s">
        <v>324</v>
      </c>
      <c r="E767" s="1" t="s">
        <v>324</v>
      </c>
      <c r="F767" s="1" t="s">
        <v>324</v>
      </c>
      <c r="G767" s="1" t="s">
        <v>324</v>
      </c>
    </row>
    <row r="768" spans="1:7" x14ac:dyDescent="0.25">
      <c r="A768" s="1" t="s">
        <v>983</v>
      </c>
      <c r="B768" s="2" t="str">
        <f>HYPERLINK("https://www.elsevier.com/locate/issn/2214-6628", "Current Plant Biology")</f>
        <v>Current Plant Biology</v>
      </c>
      <c r="C768" s="1" t="s">
        <v>23</v>
      </c>
      <c r="D768" s="1">
        <v>3440</v>
      </c>
      <c r="E768" s="1">
        <v>3220</v>
      </c>
      <c r="F768" s="1">
        <v>2750</v>
      </c>
      <c r="G768" s="1">
        <v>426660</v>
      </c>
    </row>
    <row r="769" spans="1:7" x14ac:dyDescent="0.25">
      <c r="A769" s="1" t="s">
        <v>984</v>
      </c>
      <c r="B769" s="2" t="str">
        <f>HYPERLINK("https://www.elsevier.com/locate/issn/0147-0272", "Current Problems in Cancer")</f>
        <v>Current Problems in Cancer</v>
      </c>
      <c r="C769" s="1" t="s">
        <v>10</v>
      </c>
      <c r="D769" s="1">
        <v>3740</v>
      </c>
      <c r="E769" s="1">
        <v>3500</v>
      </c>
      <c r="F769" s="1">
        <v>2990</v>
      </c>
      <c r="G769" s="1">
        <v>463870</v>
      </c>
    </row>
    <row r="770" spans="1:7" x14ac:dyDescent="0.25">
      <c r="A770" s="1" t="s">
        <v>985</v>
      </c>
      <c r="B770" s="2" t="str">
        <f>HYPERLINK("https://www.elsevier.com/locate/issn/2666-6219", "Current Problems in Cancer: Case Reports")</f>
        <v>Current Problems in Cancer: Case Reports</v>
      </c>
      <c r="C770" s="1" t="s">
        <v>23</v>
      </c>
      <c r="D770" s="1">
        <v>1030</v>
      </c>
      <c r="E770" s="1">
        <v>960</v>
      </c>
      <c r="F770" s="1">
        <v>820</v>
      </c>
      <c r="G770" s="1">
        <v>127750</v>
      </c>
    </row>
    <row r="771" spans="1:7" x14ac:dyDescent="0.25">
      <c r="A771" s="1" t="s">
        <v>986</v>
      </c>
      <c r="B771" s="2" t="str">
        <f>HYPERLINK("https://www.elsevier.com/locate/issn/0146-2806", "Current Problems in Cardiology")</f>
        <v>Current Problems in Cardiology</v>
      </c>
      <c r="C771" s="1" t="s">
        <v>10</v>
      </c>
      <c r="D771" s="1">
        <v>3650</v>
      </c>
      <c r="E771" s="1">
        <v>3410</v>
      </c>
      <c r="F771" s="1">
        <v>2920</v>
      </c>
      <c r="G771" s="1">
        <v>452710</v>
      </c>
    </row>
    <row r="772" spans="1:7" x14ac:dyDescent="0.25">
      <c r="A772" s="1" t="s">
        <v>987</v>
      </c>
      <c r="B772" s="2" t="str">
        <f>HYPERLINK("https://www.elsevier.com/locate/issn/0363-0188", "Current Problems in Diagnostic Radiology")</f>
        <v>Current Problems in Diagnostic Radiology</v>
      </c>
      <c r="C772" s="1" t="s">
        <v>10</v>
      </c>
      <c r="D772" s="1">
        <v>3470</v>
      </c>
      <c r="E772" s="1">
        <v>3250</v>
      </c>
      <c r="F772" s="1">
        <v>2780</v>
      </c>
      <c r="G772" s="1">
        <v>430380</v>
      </c>
    </row>
    <row r="773" spans="1:7" x14ac:dyDescent="0.25">
      <c r="A773" s="1" t="s">
        <v>988</v>
      </c>
      <c r="B773" s="2" t="str">
        <f>HYPERLINK("https://www.elsevier.com/locate/issn/1538-5442", "Current Problems in Pediatric and Adolescent Health Care")</f>
        <v>Current Problems in Pediatric and Adolescent Health Care</v>
      </c>
      <c r="C773" s="1" t="s">
        <v>10</v>
      </c>
      <c r="D773" s="1">
        <v>3510</v>
      </c>
      <c r="E773" s="1">
        <v>3280</v>
      </c>
      <c r="F773" s="1">
        <v>2810</v>
      </c>
      <c r="G773" s="1">
        <v>435350</v>
      </c>
    </row>
    <row r="774" spans="1:7" x14ac:dyDescent="0.25">
      <c r="A774" s="1" t="s">
        <v>989</v>
      </c>
      <c r="B774" s="2" t="str">
        <f>HYPERLINK("https://www.elsevier.com/locate/issn/0011-3840", "Current Problems in Surgery")</f>
        <v>Current Problems in Surgery</v>
      </c>
      <c r="C774" s="1" t="s">
        <v>23</v>
      </c>
      <c r="D774" s="1">
        <v>2780</v>
      </c>
      <c r="E774" s="1">
        <v>2600</v>
      </c>
      <c r="F774" s="1">
        <v>2230</v>
      </c>
      <c r="G774" s="1">
        <v>344800</v>
      </c>
    </row>
    <row r="775" spans="1:7" x14ac:dyDescent="0.25">
      <c r="A775" s="1" t="s">
        <v>990</v>
      </c>
      <c r="B775" s="2" t="str">
        <f>HYPERLINK("https://www.elsevier.com/locate/issn/1874-4710", "Current Radiopharmaceuticals")</f>
        <v>Current Radiopharmaceuticals</v>
      </c>
      <c r="C775" s="1" t="s">
        <v>34</v>
      </c>
      <c r="D775" s="1" t="s">
        <v>324</v>
      </c>
      <c r="E775" s="1" t="s">
        <v>324</v>
      </c>
      <c r="F775" s="1" t="s">
        <v>324</v>
      </c>
      <c r="G775" s="1" t="s">
        <v>324</v>
      </c>
    </row>
    <row r="776" spans="1:7" x14ac:dyDescent="0.25">
      <c r="A776" s="1" t="s">
        <v>991</v>
      </c>
      <c r="B776" s="2" t="str">
        <f>HYPERLINK("https://www.elsevier.com/locate/issn/2666-5182", "Current Research in Behavioral Sciences")</f>
        <v>Current Research in Behavioral Sciences</v>
      </c>
      <c r="C776" s="1" t="s">
        <v>23</v>
      </c>
      <c r="D776" s="1">
        <v>3480</v>
      </c>
      <c r="E776" s="1">
        <v>3260</v>
      </c>
      <c r="F776" s="1">
        <v>2790</v>
      </c>
      <c r="G776" s="1">
        <v>431620</v>
      </c>
    </row>
    <row r="777" spans="1:7" x14ac:dyDescent="0.25">
      <c r="A777" s="1" t="s">
        <v>992</v>
      </c>
      <c r="B777" s="2" t="str">
        <f>HYPERLINK("https://www.elsevier.com/locate/issn/2590-2628", "Current Research in Biotechnology")</f>
        <v>Current Research in Biotechnology</v>
      </c>
      <c r="C777" s="1" t="s">
        <v>23</v>
      </c>
      <c r="D777" s="1">
        <v>2890</v>
      </c>
      <c r="E777" s="1">
        <v>2700</v>
      </c>
      <c r="F777" s="1">
        <v>2310</v>
      </c>
      <c r="G777" s="1">
        <v>358450</v>
      </c>
    </row>
    <row r="778" spans="1:7" x14ac:dyDescent="0.25">
      <c r="A778" s="1" t="s">
        <v>993</v>
      </c>
      <c r="B778" s="2" t="str">
        <f>HYPERLINK("https://www.elsevier.com/locate/issn/2666-2469", "Current Research in Chemical Biology")</f>
        <v>Current Research in Chemical Biology</v>
      </c>
      <c r="C778" s="1" t="s">
        <v>23</v>
      </c>
      <c r="D778" s="1">
        <v>1850</v>
      </c>
      <c r="E778" s="1">
        <v>1690</v>
      </c>
      <c r="F778" s="1">
        <v>1480</v>
      </c>
      <c r="G778" s="1">
        <v>229460</v>
      </c>
    </row>
    <row r="779" spans="1:7" x14ac:dyDescent="0.25">
      <c r="A779" s="1" t="s">
        <v>994</v>
      </c>
      <c r="B779" s="2" t="str">
        <f>HYPERLINK("https://www.elsevier.com/locate/issn/2666-6227", "Current Research in Ecological and Social Psychology")</f>
        <v>Current Research in Ecological and Social Psychology</v>
      </c>
      <c r="C779" s="1" t="s">
        <v>23</v>
      </c>
      <c r="D779" s="1">
        <v>2390</v>
      </c>
      <c r="E779" s="1">
        <v>2240</v>
      </c>
      <c r="F779" s="1">
        <v>1910</v>
      </c>
      <c r="G779" s="1">
        <v>296430</v>
      </c>
    </row>
    <row r="780" spans="1:7" x14ac:dyDescent="0.25">
      <c r="A780" s="1" t="s">
        <v>995</v>
      </c>
      <c r="B780" s="2" t="str">
        <f>HYPERLINK("https://www.elsevier.com/locate/issn/2666-0490", "Current Research in Environmental Sustainability")</f>
        <v>Current Research in Environmental Sustainability</v>
      </c>
      <c r="C780" s="1" t="s">
        <v>23</v>
      </c>
      <c r="D780" s="1">
        <v>2180</v>
      </c>
      <c r="E780" s="1">
        <v>2040</v>
      </c>
      <c r="F780" s="1">
        <v>1750</v>
      </c>
      <c r="G780" s="1">
        <v>270390</v>
      </c>
    </row>
    <row r="781" spans="1:7" x14ac:dyDescent="0.25">
      <c r="A781" s="1" t="s">
        <v>996</v>
      </c>
      <c r="B781" s="2" t="str">
        <f>HYPERLINK("https://www.elsevier.com/locate/issn/2665-9271", "Current Research in Food Science")</f>
        <v>Current Research in Food Science</v>
      </c>
      <c r="C781" s="1" t="s">
        <v>23</v>
      </c>
      <c r="D781" s="1">
        <v>2950</v>
      </c>
      <c r="E781" s="1">
        <v>2760</v>
      </c>
      <c r="F781" s="1">
        <v>2360</v>
      </c>
      <c r="G781" s="1">
        <v>365890</v>
      </c>
    </row>
    <row r="782" spans="1:7" x14ac:dyDescent="0.25">
      <c r="A782" s="1" t="s">
        <v>997</v>
      </c>
      <c r="B782" s="2" t="str">
        <f>HYPERLINK("https://www.elsevier.com/locate/issn/2666-0865", "Current Research in Green and Sustainable Chemistry")</f>
        <v>Current Research in Green and Sustainable Chemistry</v>
      </c>
      <c r="C782" s="1" t="s">
        <v>23</v>
      </c>
      <c r="D782" s="1">
        <v>2500</v>
      </c>
      <c r="E782" s="1">
        <v>2340</v>
      </c>
      <c r="F782" s="1">
        <v>2000</v>
      </c>
      <c r="G782" s="1">
        <v>310080</v>
      </c>
    </row>
    <row r="783" spans="1:7" x14ac:dyDescent="0.25">
      <c r="A783" s="1" t="s">
        <v>998</v>
      </c>
      <c r="B783" s="2" t="str">
        <f>HYPERLINK("https://www.elsevier.com/locate/issn/2590-2555", "Current Research in Immunology")</f>
        <v>Current Research in Immunology</v>
      </c>
      <c r="C783" s="1" t="s">
        <v>23</v>
      </c>
      <c r="D783" s="1">
        <v>2520</v>
      </c>
      <c r="E783" s="1">
        <v>2360</v>
      </c>
      <c r="F783" s="1">
        <v>2020</v>
      </c>
      <c r="G783" s="1">
        <v>312560</v>
      </c>
    </row>
    <row r="784" spans="1:7" x14ac:dyDescent="0.25">
      <c r="A784" s="1" t="s">
        <v>999</v>
      </c>
      <c r="B784" s="2" t="str">
        <f>HYPERLINK("https://www.elsevier.com/locate/issn/2666-5158", "Current Research in Insect Science")</f>
        <v>Current Research in Insect Science</v>
      </c>
      <c r="C784" s="1" t="s">
        <v>23</v>
      </c>
      <c r="D784" s="1">
        <v>1700</v>
      </c>
      <c r="E784" s="1">
        <v>1590</v>
      </c>
      <c r="F784" s="1">
        <v>1360</v>
      </c>
      <c r="G784" s="1">
        <v>210850</v>
      </c>
    </row>
    <row r="785" spans="1:7" x14ac:dyDescent="0.25">
      <c r="A785" s="1" t="s">
        <v>1000</v>
      </c>
      <c r="B785" s="2" t="str">
        <f>HYPERLINK("https://www.elsevier.com/locate/issn/2666-5174", "Current Research in Microbial Sciences")</f>
        <v>Current Research in Microbial Sciences</v>
      </c>
      <c r="C785" s="1" t="s">
        <v>23</v>
      </c>
      <c r="D785" s="1">
        <v>2680</v>
      </c>
      <c r="E785" s="1">
        <v>2510</v>
      </c>
      <c r="F785" s="1">
        <v>2150</v>
      </c>
      <c r="G785" s="1">
        <v>332400</v>
      </c>
    </row>
    <row r="786" spans="1:7" x14ac:dyDescent="0.25">
      <c r="A786" s="1" t="s">
        <v>1001</v>
      </c>
      <c r="B786" s="2" t="str">
        <f>HYPERLINK("https://www.elsevier.com/locate/issn/2665-945X", "Current Research in Neurobiology")</f>
        <v>Current Research in Neurobiology</v>
      </c>
      <c r="C786" s="1" t="s">
        <v>23</v>
      </c>
      <c r="D786" s="1">
        <v>2660</v>
      </c>
      <c r="E786" s="1">
        <v>2490</v>
      </c>
      <c r="F786" s="1">
        <v>2130</v>
      </c>
      <c r="G786" s="1">
        <v>329920</v>
      </c>
    </row>
    <row r="787" spans="1:7" x14ac:dyDescent="0.25">
      <c r="A787" s="1" t="s">
        <v>1002</v>
      </c>
      <c r="B787" s="2" t="str">
        <f>HYPERLINK("https://www.elsevier.com/locate/issn/2667-114X", "Current Research in Parasitology and Vector-Borne Diseases")</f>
        <v>Current Research in Parasitology and Vector-Borne Diseases</v>
      </c>
      <c r="C787" s="1" t="s">
        <v>23</v>
      </c>
      <c r="D787" s="1">
        <v>2350</v>
      </c>
      <c r="E787" s="1">
        <v>2200</v>
      </c>
      <c r="F787" s="1">
        <v>1880</v>
      </c>
      <c r="G787" s="1">
        <v>291470</v>
      </c>
    </row>
    <row r="788" spans="1:7" x14ac:dyDescent="0.25">
      <c r="A788" s="1" t="s">
        <v>1003</v>
      </c>
      <c r="B788" s="2" t="str">
        <f>HYPERLINK("https://www.elsevier.com/locate/issn/2590-2571", "Current Research in Pharmacology and Drug Discovery")</f>
        <v>Current Research in Pharmacology and Drug Discovery</v>
      </c>
      <c r="C788" s="1" t="s">
        <v>23</v>
      </c>
      <c r="D788" s="1">
        <v>2680</v>
      </c>
      <c r="E788" s="1">
        <v>2510</v>
      </c>
      <c r="F788" s="1">
        <v>2150</v>
      </c>
      <c r="G788" s="1">
        <v>332400</v>
      </c>
    </row>
    <row r="789" spans="1:7" x14ac:dyDescent="0.25">
      <c r="A789" s="1" t="s">
        <v>1004</v>
      </c>
      <c r="B789" s="2" t="str">
        <f>HYPERLINK("https://www.elsevier.com/locate/issn/2665-9441", "Current Research in Physiology")</f>
        <v>Current Research in Physiology</v>
      </c>
      <c r="C789" s="1" t="s">
        <v>23</v>
      </c>
      <c r="D789" s="1">
        <v>2470</v>
      </c>
      <c r="E789" s="1">
        <v>2310</v>
      </c>
      <c r="F789" s="1">
        <v>1980</v>
      </c>
      <c r="G789" s="1">
        <v>306350</v>
      </c>
    </row>
    <row r="790" spans="1:7" x14ac:dyDescent="0.25">
      <c r="A790" s="1" t="s">
        <v>1005</v>
      </c>
      <c r="B790" s="2" t="str">
        <f>HYPERLINK("https://www.elsevier.com/locate/issn/2665-928X", "Current Research in Structural Biology")</f>
        <v>Current Research in Structural Biology</v>
      </c>
      <c r="C790" s="1" t="s">
        <v>23</v>
      </c>
      <c r="D790" s="1">
        <v>2830</v>
      </c>
      <c r="E790" s="1">
        <v>2650</v>
      </c>
      <c r="F790" s="1">
        <v>2270</v>
      </c>
      <c r="G790" s="1">
        <v>351000</v>
      </c>
    </row>
    <row r="791" spans="1:7" x14ac:dyDescent="0.25">
      <c r="A791" s="1" t="s">
        <v>1006</v>
      </c>
      <c r="B791" s="2" t="str">
        <f>HYPERLINK("https://www.elsevier.com/locate/issn/2666-027X", "Current Research in Toxicology")</f>
        <v>Current Research in Toxicology</v>
      </c>
      <c r="C791" s="1" t="s">
        <v>23</v>
      </c>
      <c r="D791" s="1">
        <v>2440</v>
      </c>
      <c r="E791" s="1">
        <v>2280</v>
      </c>
      <c r="F791" s="1">
        <v>1950</v>
      </c>
      <c r="G791" s="1">
        <v>302630</v>
      </c>
    </row>
    <row r="792" spans="1:7" x14ac:dyDescent="0.25">
      <c r="A792" s="1" t="s">
        <v>1007</v>
      </c>
      <c r="B792" s="2" t="str">
        <f>HYPERLINK("https://www.elsevier.com/locate/issn/2452-3186", "Current Research in Translational Medicine ")</f>
        <v>Current Research in Translational Medicine </v>
      </c>
      <c r="C792" s="1" t="s">
        <v>10</v>
      </c>
      <c r="D792" s="1">
        <v>3700</v>
      </c>
      <c r="E792" s="1">
        <v>3370</v>
      </c>
      <c r="F792" s="1">
        <v>2960</v>
      </c>
      <c r="G792" s="1">
        <v>458910</v>
      </c>
    </row>
    <row r="793" spans="1:7" x14ac:dyDescent="0.25">
      <c r="A793" s="1" t="s">
        <v>1008</v>
      </c>
      <c r="B793" s="2" t="str">
        <f>HYPERLINK("https://www.elsevier.com/locate/issn/0011-393X", "Current Therapeutic Research")</f>
        <v>Current Therapeutic Research</v>
      </c>
      <c r="C793" s="1" t="s">
        <v>23</v>
      </c>
      <c r="D793" s="1">
        <v>2690</v>
      </c>
      <c r="E793" s="1">
        <v>2520</v>
      </c>
      <c r="F793" s="1">
        <v>2150</v>
      </c>
      <c r="G793" s="1">
        <v>333640</v>
      </c>
    </row>
    <row r="794" spans="1:7" x14ac:dyDescent="0.25">
      <c r="A794" s="1" t="s">
        <v>1009</v>
      </c>
      <c r="B794" s="2" t="str">
        <f>HYPERLINK("https://www.elsevier.com/locate/issn/1877-1297", "Currents in Pharmacy Teaching and Learning")</f>
        <v>Currents in Pharmacy Teaching and Learning</v>
      </c>
      <c r="C794" s="1" t="s">
        <v>10</v>
      </c>
      <c r="D794" s="1">
        <v>3150</v>
      </c>
      <c r="E794" s="1">
        <v>2950</v>
      </c>
      <c r="F794" s="1">
        <v>2520</v>
      </c>
      <c r="G794" s="1">
        <v>390690</v>
      </c>
    </row>
    <row r="795" spans="1:7" x14ac:dyDescent="0.25">
      <c r="A795" s="1" t="s">
        <v>1010</v>
      </c>
      <c r="B795" s="2" t="str">
        <f>HYPERLINK("https://www.elsevier.com/locate/issn/2772-9184", "Cyber Security and Applications")</f>
        <v>Cyber Security and Applications</v>
      </c>
      <c r="C795" s="1" t="s">
        <v>34</v>
      </c>
      <c r="D795" s="1" t="s">
        <v>324</v>
      </c>
      <c r="E795" s="1" t="s">
        <v>324</v>
      </c>
      <c r="F795" s="1" t="s">
        <v>324</v>
      </c>
      <c r="G795" s="1" t="s">
        <v>324</v>
      </c>
    </row>
    <row r="796" spans="1:7" x14ac:dyDescent="0.25">
      <c r="A796" s="1" t="s">
        <v>1011</v>
      </c>
      <c r="B796" s="2" t="str">
        <f>HYPERLINK("https://www.elsevier.com/locate/issn/3050-7448", "Cyber-Physical Energy Systems")</f>
        <v>Cyber-Physical Energy Systems</v>
      </c>
      <c r="C796" s="1" t="s">
        <v>34</v>
      </c>
      <c r="D796" s="1" t="s">
        <v>324</v>
      </c>
      <c r="E796" s="1" t="s">
        <v>324</v>
      </c>
      <c r="F796" s="1" t="s">
        <v>324</v>
      </c>
      <c r="G796" s="1" t="s">
        <v>324</v>
      </c>
    </row>
    <row r="797" spans="1:7" x14ac:dyDescent="0.25">
      <c r="A797" s="1" t="s">
        <v>1012</v>
      </c>
      <c r="B797" s="2" t="str">
        <f>HYPERLINK("https://www.elsevier.com/locate/issn/1043-4666", "Cytokine")</f>
        <v>Cytokine</v>
      </c>
      <c r="C797" s="1" t="s">
        <v>10</v>
      </c>
      <c r="D797" s="1">
        <v>3220</v>
      </c>
      <c r="E797" s="1">
        <v>3010</v>
      </c>
      <c r="F797" s="1">
        <v>2580</v>
      </c>
      <c r="G797" s="1">
        <v>399380</v>
      </c>
    </row>
    <row r="798" spans="1:7" x14ac:dyDescent="0.25">
      <c r="A798" s="1" t="s">
        <v>1013</v>
      </c>
      <c r="B798" s="2" t="str">
        <f>HYPERLINK("https://www.elsevier.com/locate/issn/1359-6101", "Cytokine &amp; Growth Factor Reviews")</f>
        <v>Cytokine &amp; Growth Factor Reviews</v>
      </c>
      <c r="C798" s="1" t="s">
        <v>10</v>
      </c>
      <c r="D798" s="1">
        <v>4900</v>
      </c>
      <c r="E798" s="1">
        <v>4580</v>
      </c>
      <c r="F798" s="1">
        <v>3920</v>
      </c>
      <c r="G798" s="1">
        <v>607750</v>
      </c>
    </row>
    <row r="799" spans="1:7" x14ac:dyDescent="0.25">
      <c r="A799" s="1" t="s">
        <v>1014</v>
      </c>
      <c r="B799" s="2" t="str">
        <f>HYPERLINK("https://www.elsevier.com/locate/issn/2590-1532", "Cytokine: X")</f>
        <v>Cytokine: X</v>
      </c>
      <c r="C799" s="1" t="s">
        <v>23</v>
      </c>
      <c r="D799" s="1">
        <v>2430</v>
      </c>
      <c r="E799" s="1">
        <v>2270</v>
      </c>
      <c r="F799" s="1">
        <v>1950</v>
      </c>
      <c r="G799" s="1">
        <v>301390</v>
      </c>
    </row>
    <row r="800" spans="1:7" x14ac:dyDescent="0.25">
      <c r="A800" s="1" t="s">
        <v>1015</v>
      </c>
      <c r="B800" s="2" t="str">
        <f>HYPERLINK("https://www.elsevier.com/locate/issn/1465-3249", "Cytotherapy")</f>
        <v>Cytotherapy</v>
      </c>
      <c r="C800" s="1" t="s">
        <v>10</v>
      </c>
      <c r="D800" s="1">
        <v>3300</v>
      </c>
      <c r="E800" s="1">
        <v>3090</v>
      </c>
      <c r="F800" s="1">
        <v>2640</v>
      </c>
      <c r="G800" s="1">
        <v>409300</v>
      </c>
    </row>
    <row r="801" spans="1:7" x14ac:dyDescent="0.25">
      <c r="A801" s="1" t="s">
        <v>1016</v>
      </c>
      <c r="B801" s="2" t="str">
        <f>HYPERLINK("https://www.elsevier.com/locate/issn/0169-023X", "Data &amp; Knowledge Engineering")</f>
        <v>Data &amp; Knowledge Engineering</v>
      </c>
      <c r="C801" s="1" t="s">
        <v>10</v>
      </c>
      <c r="D801" s="1">
        <v>3000</v>
      </c>
      <c r="E801" s="1">
        <v>2810</v>
      </c>
      <c r="F801" s="1">
        <v>2400</v>
      </c>
      <c r="G801" s="1">
        <v>372090</v>
      </c>
    </row>
    <row r="802" spans="1:7" x14ac:dyDescent="0.25">
      <c r="A802" s="1" t="s">
        <v>1017</v>
      </c>
      <c r="B802" s="2" t="str">
        <f>HYPERLINK("https://www.elsevier.com/locate/issn/2543-9251", "Data and Information Management")</f>
        <v>Data and Information Management</v>
      </c>
      <c r="C802" s="1" t="s">
        <v>23</v>
      </c>
      <c r="D802" s="1">
        <v>1350</v>
      </c>
      <c r="E802" s="1">
        <v>1260</v>
      </c>
      <c r="F802" s="1">
        <v>1080</v>
      </c>
      <c r="G802" s="1">
        <v>167440</v>
      </c>
    </row>
    <row r="803" spans="1:7" x14ac:dyDescent="0.25">
      <c r="A803" s="1" t="s">
        <v>1018</v>
      </c>
      <c r="B803" s="2" t="str">
        <f>HYPERLINK("https://www.elsevier.com/locate/issn/2352-3409", "Data in Brief")</f>
        <v>Data in Brief</v>
      </c>
      <c r="C803" s="1" t="s">
        <v>23</v>
      </c>
      <c r="D803" s="1">
        <v>1060</v>
      </c>
      <c r="E803" s="1">
        <v>990</v>
      </c>
      <c r="F803" s="1">
        <v>850</v>
      </c>
      <c r="G803" s="1">
        <v>131470</v>
      </c>
    </row>
    <row r="804" spans="1:7" x14ac:dyDescent="0.25">
      <c r="A804" s="1" t="s">
        <v>1019</v>
      </c>
      <c r="B804" s="2" t="str">
        <f>HYPERLINK("https://www.elsevier.com/locate/issn/2694-6106", "Data Science and Informetrics")</f>
        <v>Data Science and Informetrics</v>
      </c>
      <c r="C804" s="1" t="s">
        <v>34</v>
      </c>
      <c r="D804" s="1" t="s">
        <v>324</v>
      </c>
      <c r="E804" s="1" t="s">
        <v>324</v>
      </c>
      <c r="F804" s="1" t="s">
        <v>324</v>
      </c>
      <c r="G804" s="1" t="s">
        <v>324</v>
      </c>
    </row>
    <row r="805" spans="1:7" x14ac:dyDescent="0.25">
      <c r="A805" s="1" t="s">
        <v>1020</v>
      </c>
      <c r="B805" s="2" t="str">
        <f>HYPERLINK("https://www.elsevier.com/locate/issn/2666-7649", "Data Science and Management")</f>
        <v>Data Science and Management</v>
      </c>
      <c r="C805" s="1" t="s">
        <v>34</v>
      </c>
      <c r="D805" s="1" t="s">
        <v>324</v>
      </c>
      <c r="E805" s="1" t="s">
        <v>324</v>
      </c>
      <c r="F805" s="1" t="s">
        <v>324</v>
      </c>
      <c r="G805" s="1" t="s">
        <v>324</v>
      </c>
    </row>
    <row r="806" spans="1:7" x14ac:dyDescent="0.25">
      <c r="A806" s="1" t="s">
        <v>1021</v>
      </c>
      <c r="B806" s="2" t="str">
        <f>HYPERLINK("https://www.elsevier.com/locate/issn/2949-8813", "DeCarbon")</f>
        <v>DeCarbon</v>
      </c>
      <c r="C806" s="1" t="s">
        <v>23</v>
      </c>
      <c r="D806" s="1">
        <v>2200</v>
      </c>
      <c r="E806" s="1">
        <v>2060</v>
      </c>
      <c r="F806" s="1">
        <v>1760</v>
      </c>
      <c r="G806" s="1">
        <v>272870</v>
      </c>
    </row>
    <row r="807" spans="1:7" x14ac:dyDescent="0.25">
      <c r="A807" s="1" t="s">
        <v>1022</v>
      </c>
      <c r="B807" s="2" t="str">
        <f>HYPERLINK("https://www.elsevier.com/locate/issn/2772-6622", "Decision Analytics Journal")</f>
        <v>Decision Analytics Journal</v>
      </c>
      <c r="C807" s="1" t="s">
        <v>23</v>
      </c>
      <c r="D807" s="1">
        <v>1790</v>
      </c>
      <c r="E807" s="1">
        <v>1670</v>
      </c>
      <c r="F807" s="1">
        <v>1430</v>
      </c>
      <c r="G807" s="1">
        <v>222010</v>
      </c>
    </row>
    <row r="808" spans="1:7" x14ac:dyDescent="0.25">
      <c r="A808" s="1" t="s">
        <v>1023</v>
      </c>
      <c r="B808" s="2" t="str">
        <f>HYPERLINK("https://www.elsevier.com/locate/issn/0167-9236", "Decision Support Systems")</f>
        <v>Decision Support Systems</v>
      </c>
      <c r="C808" s="1" t="s">
        <v>10</v>
      </c>
      <c r="D808" s="1">
        <v>3940</v>
      </c>
      <c r="E808" s="1">
        <v>3690</v>
      </c>
      <c r="F808" s="1">
        <v>3150</v>
      </c>
      <c r="G808" s="1">
        <v>488680</v>
      </c>
    </row>
    <row r="809" spans="1:7" x14ac:dyDescent="0.25">
      <c r="A809" s="1" t="s">
        <v>1024</v>
      </c>
      <c r="B809" s="2" t="str">
        <f>HYPERLINK("https://www.elsevier.com/locate/issn/2949-9240", "Decoding Infection and Transmission")</f>
        <v>Decoding Infection and Transmission</v>
      </c>
      <c r="C809" s="1" t="s">
        <v>34</v>
      </c>
      <c r="D809" s="1" t="s">
        <v>324</v>
      </c>
      <c r="E809" s="1" t="s">
        <v>324</v>
      </c>
      <c r="F809" s="1" t="s">
        <v>324</v>
      </c>
      <c r="G809" s="1" t="s">
        <v>324</v>
      </c>
    </row>
    <row r="810" spans="1:7" x14ac:dyDescent="0.25">
      <c r="A810" s="1" t="s">
        <v>1025</v>
      </c>
      <c r="B810" s="2" t="str">
        <f>HYPERLINK("https://www.elsevier.com/locate/issn/2949-6691", "Deep Brain Stimulation")</f>
        <v>Deep Brain Stimulation</v>
      </c>
      <c r="C810" s="1" t="s">
        <v>23</v>
      </c>
      <c r="D810" s="1">
        <v>2500</v>
      </c>
      <c r="E810" s="1">
        <v>2340</v>
      </c>
      <c r="F810" s="1">
        <v>2000</v>
      </c>
      <c r="G810" s="1">
        <v>310080</v>
      </c>
    </row>
    <row r="811" spans="1:7" x14ac:dyDescent="0.25">
      <c r="A811" s="1" t="s">
        <v>1026</v>
      </c>
      <c r="B811" s="2" t="str">
        <f>HYPERLINK("https://www.elsevier.com/locate/issn/2949-9305", "Deep Resources Engineering")</f>
        <v>Deep Resources Engineering</v>
      </c>
      <c r="C811" s="1" t="s">
        <v>34</v>
      </c>
      <c r="D811" s="1" t="s">
        <v>324</v>
      </c>
      <c r="E811" s="1" t="s">
        <v>324</v>
      </c>
      <c r="F811" s="1" t="s">
        <v>324</v>
      </c>
      <c r="G811" s="1" t="s">
        <v>324</v>
      </c>
    </row>
    <row r="812" spans="1:7" x14ac:dyDescent="0.25">
      <c r="A812" s="1" t="s">
        <v>1027</v>
      </c>
      <c r="B812" s="2" t="str">
        <f>HYPERLINK("https://www.elsevier.com/locate/issn/0967-0637", "Deep Sea Research Part I: Oceanographic Research Papers")</f>
        <v>Deep Sea Research Part I: Oceanographic Research Papers</v>
      </c>
      <c r="C812" s="1" t="s">
        <v>10</v>
      </c>
      <c r="D812" s="1">
        <v>3270</v>
      </c>
      <c r="E812" s="1">
        <v>3060</v>
      </c>
      <c r="F812" s="1">
        <v>2620</v>
      </c>
      <c r="G812" s="1">
        <v>405580</v>
      </c>
    </row>
    <row r="813" spans="1:7" x14ac:dyDescent="0.25">
      <c r="A813" s="1" t="s">
        <v>1028</v>
      </c>
      <c r="B813" s="2" t="str">
        <f>HYPERLINK("https://www.elsevier.com/locate/issn/0967-0645", "Deep Sea Research Part II: Topical Studies in Oceanography")</f>
        <v>Deep Sea Research Part II: Topical Studies in Oceanography</v>
      </c>
      <c r="C813" s="1" t="s">
        <v>10</v>
      </c>
      <c r="D813" s="1">
        <v>3760</v>
      </c>
      <c r="E813" s="1">
        <v>3520</v>
      </c>
      <c r="F813" s="1">
        <v>3010</v>
      </c>
      <c r="G813" s="1">
        <v>466350</v>
      </c>
    </row>
    <row r="814" spans="1:7" x14ac:dyDescent="0.25">
      <c r="A814" s="1" t="s">
        <v>1029</v>
      </c>
      <c r="B814" s="2" t="str">
        <f>HYPERLINK("https://www.elsevier.com/locate/issn/2214-9147", "Defence Technology")</f>
        <v>Defence Technology</v>
      </c>
      <c r="C814" s="1" t="s">
        <v>34</v>
      </c>
      <c r="D814" s="1" t="s">
        <v>324</v>
      </c>
      <c r="E814" s="1" t="s">
        <v>324</v>
      </c>
      <c r="F814" s="1" t="s">
        <v>324</v>
      </c>
      <c r="G814" s="1" t="s">
        <v>324</v>
      </c>
    </row>
    <row r="815" spans="1:7" x14ac:dyDescent="0.25">
      <c r="A815" s="1" t="s">
        <v>1030</v>
      </c>
      <c r="B815" s="2" t="str">
        <f>HYPERLINK("https://www.elsevier.com/locate/issn/1125-7865", "Dendrochronologia")</f>
        <v>Dendrochronologia</v>
      </c>
      <c r="C815" s="1" t="s">
        <v>10</v>
      </c>
      <c r="D815" s="1">
        <v>3390</v>
      </c>
      <c r="E815" s="1">
        <v>3170</v>
      </c>
      <c r="F815" s="1">
        <v>2710</v>
      </c>
      <c r="G815" s="1">
        <v>420460</v>
      </c>
    </row>
    <row r="816" spans="1:7" x14ac:dyDescent="0.25">
      <c r="A816" s="1" t="s">
        <v>1031</v>
      </c>
      <c r="B816" s="2" t="str">
        <f>HYPERLINK("https://www.elsevier.com/locate/issn/0109-5641", "Dental Materials")</f>
        <v>Dental Materials</v>
      </c>
      <c r="C816" s="1" t="s">
        <v>10</v>
      </c>
      <c r="D816" s="1">
        <v>4560</v>
      </c>
      <c r="E816" s="1">
        <v>4270</v>
      </c>
      <c r="F816" s="1">
        <v>3650</v>
      </c>
      <c r="G816" s="1">
        <v>565580</v>
      </c>
    </row>
    <row r="817" spans="1:7" x14ac:dyDescent="0.25">
      <c r="A817" s="1" t="s">
        <v>1032</v>
      </c>
      <c r="B817" s="2" t="str">
        <f>HYPERLINK("https://www.elsevier.com/locate/issn/2772-5596", "Dentistry Review")</f>
        <v>Dentistry Review</v>
      </c>
      <c r="C817" s="1" t="s">
        <v>23</v>
      </c>
      <c r="D817" s="1">
        <v>2070</v>
      </c>
      <c r="E817" s="1">
        <v>1940</v>
      </c>
      <c r="F817" s="1">
        <v>1660</v>
      </c>
      <c r="G817" s="1">
        <v>256740</v>
      </c>
    </row>
    <row r="818" spans="1:7" x14ac:dyDescent="0.25">
      <c r="A818" s="1" t="s">
        <v>1033</v>
      </c>
      <c r="B818" s="2" t="str">
        <f>HYPERLINK("https://www.elsevier.com/locate/issn/0011-9164", "Desalination")</f>
        <v>Desalination</v>
      </c>
      <c r="C818" s="1" t="s">
        <v>10</v>
      </c>
      <c r="D818" s="1">
        <v>4480</v>
      </c>
      <c r="E818" s="1">
        <v>4190</v>
      </c>
      <c r="F818" s="1">
        <v>3590</v>
      </c>
      <c r="G818" s="1">
        <v>555650</v>
      </c>
    </row>
    <row r="819" spans="1:7" x14ac:dyDescent="0.25">
      <c r="A819" s="1" t="s">
        <v>1034</v>
      </c>
      <c r="B819" s="2" t="str">
        <f>HYPERLINK("https://www.elsevier.com/locate/issn/1944-3986", "Desalination and Water Treatment")</f>
        <v>Desalination and Water Treatment</v>
      </c>
      <c r="C819" s="1" t="s">
        <v>23</v>
      </c>
      <c r="D819" s="1">
        <v>1400</v>
      </c>
      <c r="E819" s="1">
        <v>1310</v>
      </c>
      <c r="F819" s="1">
        <v>1120</v>
      </c>
      <c r="G819" s="1">
        <v>173640</v>
      </c>
    </row>
    <row r="820" spans="1:7" x14ac:dyDescent="0.25">
      <c r="A820" s="1" t="s">
        <v>1035</v>
      </c>
      <c r="B820" s="2" t="str">
        <f>HYPERLINK("https://www.elsevier.com/locate/issn/3050-7413", "Design and Artificial Intelligence")</f>
        <v>Design and Artificial Intelligence</v>
      </c>
      <c r="C820" s="1" t="s">
        <v>34</v>
      </c>
      <c r="D820" s="1" t="s">
        <v>324</v>
      </c>
      <c r="E820" s="1" t="s">
        <v>324</v>
      </c>
      <c r="F820" s="1" t="s">
        <v>324</v>
      </c>
      <c r="G820" s="1" t="s">
        <v>324</v>
      </c>
    </row>
    <row r="821" spans="1:7" x14ac:dyDescent="0.25">
      <c r="A821" s="1" t="s">
        <v>1036</v>
      </c>
      <c r="B821" s="2" t="str">
        <f>HYPERLINK("https://www.elsevier.com/locate/issn/2950-2624", "Design Science Vision")</f>
        <v>Design Science Vision</v>
      </c>
      <c r="C821" s="1" t="s">
        <v>34</v>
      </c>
      <c r="D821" s="1">
        <v>500</v>
      </c>
      <c r="E821" s="1">
        <v>470</v>
      </c>
      <c r="F821" s="1">
        <v>400</v>
      </c>
      <c r="G821" s="1">
        <v>62020</v>
      </c>
    </row>
    <row r="822" spans="1:7" x14ac:dyDescent="0.25">
      <c r="A822" s="1" t="s">
        <v>1037</v>
      </c>
      <c r="B822" s="2" t="str">
        <f>HYPERLINK("https://www.elsevier.com/locate/issn/0142-694X", "Design Studies")</f>
        <v>Design Studies</v>
      </c>
      <c r="C822" s="1" t="s">
        <v>10</v>
      </c>
      <c r="D822" s="1">
        <v>4570</v>
      </c>
      <c r="E822" s="1">
        <v>4280</v>
      </c>
      <c r="F822" s="1">
        <v>3660</v>
      </c>
      <c r="G822" s="1">
        <v>566820</v>
      </c>
    </row>
    <row r="823" spans="1:7" x14ac:dyDescent="0.25">
      <c r="A823" s="1" t="s">
        <v>1038</v>
      </c>
      <c r="B823" s="2" t="str">
        <f>HYPERLINK("https://www.elsevier.com/locate/issn/2950-5240", "Development and Sustainability in Economics and Finance")</f>
        <v>Development and Sustainability in Economics and Finance</v>
      </c>
      <c r="C823" s="1" t="s">
        <v>10</v>
      </c>
      <c r="D823" s="1">
        <v>2370</v>
      </c>
      <c r="E823" s="1">
        <v>2220</v>
      </c>
      <c r="F823" s="1">
        <v>1900</v>
      </c>
      <c r="G823" s="1">
        <v>293950</v>
      </c>
    </row>
    <row r="824" spans="1:7" x14ac:dyDescent="0.25">
      <c r="A824" s="1" t="s">
        <v>1039</v>
      </c>
      <c r="B824" s="2" t="str">
        <f>HYPERLINK("https://www.elsevier.com/locate/issn/2352-7285", "Development Engineering")</f>
        <v>Development Engineering</v>
      </c>
      <c r="C824" s="1" t="s">
        <v>23</v>
      </c>
      <c r="D824" s="1">
        <v>2220</v>
      </c>
      <c r="E824" s="1">
        <v>2080</v>
      </c>
      <c r="F824" s="1">
        <v>1780</v>
      </c>
      <c r="G824" s="1">
        <v>275350</v>
      </c>
    </row>
    <row r="825" spans="1:7" x14ac:dyDescent="0.25">
      <c r="A825" s="1" t="s">
        <v>1040</v>
      </c>
      <c r="B825" s="2" t="str">
        <f>HYPERLINK("https://www.elsevier.com/locate/issn/0145-305X", "Developmental &amp; Comparative Immunology")</f>
        <v>Developmental &amp; Comparative Immunology</v>
      </c>
      <c r="C825" s="1" t="s">
        <v>10</v>
      </c>
      <c r="D825" s="1">
        <v>3340</v>
      </c>
      <c r="E825" s="1">
        <v>3120</v>
      </c>
      <c r="F825" s="1">
        <v>2670</v>
      </c>
      <c r="G825" s="1">
        <v>414260</v>
      </c>
    </row>
    <row r="826" spans="1:7" x14ac:dyDescent="0.25">
      <c r="A826" s="1" t="s">
        <v>1041</v>
      </c>
      <c r="B826" s="2" t="str">
        <f>HYPERLINK("https://www.elsevier.com/locate/issn/0012-1606", "Developmental Biology")</f>
        <v>Developmental Biology</v>
      </c>
      <c r="C826" s="1" t="s">
        <v>10</v>
      </c>
      <c r="D826" s="1">
        <v>3550</v>
      </c>
      <c r="E826" s="1">
        <v>3320</v>
      </c>
      <c r="F826" s="1">
        <v>2840</v>
      </c>
      <c r="G826" s="1">
        <v>440310</v>
      </c>
    </row>
    <row r="827" spans="1:7" x14ac:dyDescent="0.25">
      <c r="A827" s="1" t="s">
        <v>1042</v>
      </c>
      <c r="B827" s="2" t="str">
        <f>HYPERLINK("https://www.elsevier.com/locate/issn/1534-5807", "Developmental Cell")</f>
        <v>Developmental Cell</v>
      </c>
      <c r="C827" s="1" t="s">
        <v>10</v>
      </c>
      <c r="D827" s="1">
        <v>10400</v>
      </c>
      <c r="E827" s="1">
        <v>9640</v>
      </c>
      <c r="F827" s="1">
        <v>8330</v>
      </c>
      <c r="G827" s="1">
        <v>1289910</v>
      </c>
    </row>
    <row r="828" spans="1:7" x14ac:dyDescent="0.25">
      <c r="A828" s="1" t="s">
        <v>1043</v>
      </c>
      <c r="B828" s="2" t="str">
        <f>HYPERLINK("https://www.elsevier.com/locate/issn/1878-9293", "Developmental Cognitive Neuroscience")</f>
        <v>Developmental Cognitive Neuroscience</v>
      </c>
      <c r="C828" s="1" t="s">
        <v>23</v>
      </c>
      <c r="D828" s="1">
        <v>3650</v>
      </c>
      <c r="E828" s="1">
        <v>3410</v>
      </c>
      <c r="F828" s="1">
        <v>2920</v>
      </c>
      <c r="G828" s="1">
        <v>452710</v>
      </c>
    </row>
    <row r="829" spans="1:7" x14ac:dyDescent="0.25">
      <c r="A829" s="1" t="s">
        <v>1044</v>
      </c>
      <c r="B829" s="2" t="str">
        <f>HYPERLINK("https://www.elsevier.com/locate/issn/0273-2297", "Developmental Review")</f>
        <v>Developmental Review</v>
      </c>
      <c r="C829" s="1" t="s">
        <v>10</v>
      </c>
      <c r="D829" s="1">
        <v>4330</v>
      </c>
      <c r="E829" s="1">
        <v>4050</v>
      </c>
      <c r="F829" s="1">
        <v>3470</v>
      </c>
      <c r="G829" s="1">
        <v>537050</v>
      </c>
    </row>
    <row r="830" spans="1:7" x14ac:dyDescent="0.25">
      <c r="A830" s="1" t="s">
        <v>1045</v>
      </c>
      <c r="B830" s="2" t="str">
        <f>HYPERLINK("https://www.elsevier.com/locate/issn/2666-1659", "Developments in the Built Environment")</f>
        <v>Developments in the Built Environment</v>
      </c>
      <c r="C830" s="1" t="s">
        <v>23</v>
      </c>
      <c r="D830" s="1">
        <v>3230</v>
      </c>
      <c r="E830" s="1">
        <v>3020</v>
      </c>
      <c r="F830" s="1">
        <v>2590</v>
      </c>
      <c r="G830" s="1">
        <v>400620</v>
      </c>
    </row>
    <row r="831" spans="1:7" x14ac:dyDescent="0.25">
      <c r="A831" s="1" t="s">
        <v>1046</v>
      </c>
      <c r="B831" s="2" t="str">
        <f>HYPERLINK("https://www.elsevier.com/locate/issn/2666-9986", "Device")</f>
        <v>Device</v>
      </c>
      <c r="C831" s="1" t="s">
        <v>10</v>
      </c>
      <c r="D831" s="1">
        <v>9350</v>
      </c>
      <c r="E831" s="1">
        <v>8660</v>
      </c>
      <c r="F831" s="1">
        <v>7490</v>
      </c>
      <c r="G831" s="1">
        <v>1159680</v>
      </c>
    </row>
    <row r="832" spans="1:7" x14ac:dyDescent="0.25">
      <c r="A832" s="1" t="s">
        <v>1047</v>
      </c>
      <c r="B832" s="2" t="str">
        <f>HYPERLINK("https://www.elsevier.com/locate/issn/1871-4021", "Diabetes &amp; Metabolic Syndrome: Clinical Research and Reviews")</f>
        <v>Diabetes &amp; Metabolic Syndrome: Clinical Research and Reviews</v>
      </c>
      <c r="C832" s="1" t="s">
        <v>10</v>
      </c>
      <c r="D832" s="1">
        <v>4450</v>
      </c>
      <c r="E832" s="1">
        <v>4160</v>
      </c>
      <c r="F832" s="1">
        <v>3560</v>
      </c>
      <c r="G832" s="1">
        <v>551930</v>
      </c>
    </row>
    <row r="833" spans="1:7" x14ac:dyDescent="0.25">
      <c r="A833" s="1" t="s">
        <v>1048</v>
      </c>
      <c r="B833" s="2" t="str">
        <f>HYPERLINK("https://www.elsevier.com/locate/issn/1262-3636", "Diabetes &amp; Metabolism")</f>
        <v>Diabetes &amp; Metabolism</v>
      </c>
      <c r="C833" s="1" t="s">
        <v>10</v>
      </c>
      <c r="D833" s="1">
        <v>4490</v>
      </c>
      <c r="E833" s="1">
        <v>4100</v>
      </c>
      <c r="F833" s="1">
        <v>3590</v>
      </c>
      <c r="G833" s="1">
        <v>556890</v>
      </c>
    </row>
    <row r="834" spans="1:7" x14ac:dyDescent="0.25">
      <c r="A834" s="1" t="s">
        <v>1049</v>
      </c>
      <c r="B834" s="2" t="str">
        <f>HYPERLINK("https://www.elsevier.com/locate/issn/2666-9706", "Diabetes Epidemiology and Management")</f>
        <v>Diabetes Epidemiology and Management</v>
      </c>
      <c r="C834" s="1" t="s">
        <v>23</v>
      </c>
      <c r="D834" s="1">
        <v>2460</v>
      </c>
      <c r="E834" s="1">
        <v>2300</v>
      </c>
      <c r="F834" s="1">
        <v>1970</v>
      </c>
      <c r="G834" s="1">
        <v>305110</v>
      </c>
    </row>
    <row r="835" spans="1:7" x14ac:dyDescent="0.25">
      <c r="A835" s="1" t="s">
        <v>1050</v>
      </c>
      <c r="B835" s="2" t="str">
        <f>HYPERLINK("https://www.elsevier.com/locate/issn/0168-8227", "Diabetes Research and Clinical Practice")</f>
        <v>Diabetes Research and Clinical Practice</v>
      </c>
      <c r="C835" s="1" t="s">
        <v>10</v>
      </c>
      <c r="D835" s="1">
        <v>4410</v>
      </c>
      <c r="E835" s="1">
        <v>4130</v>
      </c>
      <c r="F835" s="1">
        <v>3530</v>
      </c>
      <c r="G835" s="1">
        <v>546970</v>
      </c>
    </row>
    <row r="836" spans="1:7" x14ac:dyDescent="0.25">
      <c r="A836" s="1" t="s">
        <v>1051</v>
      </c>
      <c r="B836" s="2" t="str">
        <f>HYPERLINK("https://www.elsevier.com/locate/issn/2211-5684", "Diagnostic and Interventional Imaging")</f>
        <v>Diagnostic and Interventional Imaging</v>
      </c>
      <c r="C836" s="1" t="s">
        <v>10</v>
      </c>
      <c r="D836" s="1">
        <v>3520</v>
      </c>
      <c r="E836" s="1">
        <v>3290</v>
      </c>
      <c r="F836" s="1">
        <v>2820</v>
      </c>
      <c r="G836" s="1">
        <v>436590</v>
      </c>
    </row>
    <row r="837" spans="1:7" x14ac:dyDescent="0.25">
      <c r="A837" s="1" t="s">
        <v>1052</v>
      </c>
      <c r="B837" s="2" t="str">
        <f>HYPERLINK("https://www.elsevier.com/locate/issn/0732-8893", "Diagnostic Microbiology and Infectious Disease")</f>
        <v>Diagnostic Microbiology and Infectious Disease</v>
      </c>
      <c r="C837" s="1" t="s">
        <v>10</v>
      </c>
      <c r="D837" s="1">
        <v>3290</v>
      </c>
      <c r="E837" s="1">
        <v>3080</v>
      </c>
      <c r="F837" s="1">
        <v>2630</v>
      </c>
      <c r="G837" s="1">
        <v>408060</v>
      </c>
    </row>
    <row r="838" spans="1:7" x14ac:dyDescent="0.25">
      <c r="A838" s="1" t="s">
        <v>1053</v>
      </c>
      <c r="B838" s="2" t="str">
        <f>HYPERLINK("https://www.elsevier.com/locate/issn/2772-6533", "Dialogues in Health")</f>
        <v>Dialogues in Health</v>
      </c>
      <c r="C838" s="1" t="s">
        <v>23</v>
      </c>
      <c r="D838" s="1">
        <v>1130</v>
      </c>
      <c r="E838" s="1">
        <v>1060</v>
      </c>
      <c r="F838" s="1">
        <v>900</v>
      </c>
      <c r="G838" s="1">
        <v>140150</v>
      </c>
    </row>
    <row r="839" spans="1:7" x14ac:dyDescent="0.25">
      <c r="A839" s="1" t="s">
        <v>1054</v>
      </c>
      <c r="B839" s="2" t="str">
        <f>HYPERLINK("https://www.elsevier.com/locate/issn/0925-9635", "Diamond and Related Materials")</f>
        <v>Diamond and Related Materials</v>
      </c>
      <c r="C839" s="1" t="s">
        <v>10</v>
      </c>
      <c r="D839" s="1">
        <v>2690</v>
      </c>
      <c r="E839" s="1">
        <v>2520</v>
      </c>
      <c r="F839" s="1">
        <v>2150</v>
      </c>
      <c r="G839" s="1">
        <v>333640</v>
      </c>
    </row>
    <row r="840" spans="1:7" x14ac:dyDescent="0.25">
      <c r="A840" s="1" t="s">
        <v>1055</v>
      </c>
      <c r="B840" s="2" t="str">
        <f>HYPERLINK("https://www.elsevier.com/locate/issn/0926-2245", "Differential Geometry and its Applications")</f>
        <v>Differential Geometry and its Applications</v>
      </c>
      <c r="C840" s="1" t="s">
        <v>10</v>
      </c>
      <c r="D840" s="1">
        <v>2740</v>
      </c>
      <c r="E840" s="1">
        <v>2560</v>
      </c>
      <c r="F840" s="1">
        <v>2190</v>
      </c>
      <c r="G840" s="1">
        <v>339840</v>
      </c>
    </row>
    <row r="841" spans="1:7" x14ac:dyDescent="0.25">
      <c r="A841" s="1" t="s">
        <v>1056</v>
      </c>
      <c r="B841" s="2" t="str">
        <f>HYPERLINK("https://www.elsevier.com/locate/issn/0301-4681", "Differentiation")</f>
        <v>Differentiation</v>
      </c>
      <c r="C841" s="1" t="s">
        <v>10</v>
      </c>
      <c r="D841" s="1">
        <v>3000</v>
      </c>
      <c r="E841" s="1">
        <v>2810</v>
      </c>
      <c r="F841" s="1">
        <v>2400</v>
      </c>
      <c r="G841" s="1">
        <v>372090</v>
      </c>
    </row>
    <row r="842" spans="1:7" x14ac:dyDescent="0.25">
      <c r="A842" s="1" t="s">
        <v>1057</v>
      </c>
      <c r="B842" s="2" t="str">
        <f>HYPERLINK("https://www.elsevier.com/locate/issn/1590-8658", "Digestive and Liver Disease")</f>
        <v>Digestive and Liver Disease</v>
      </c>
      <c r="C842" s="1" t="s">
        <v>10</v>
      </c>
      <c r="D842" s="1">
        <v>3300</v>
      </c>
      <c r="E842" s="1">
        <v>3090</v>
      </c>
      <c r="F842" s="1">
        <v>2640</v>
      </c>
      <c r="G842" s="1">
        <v>409300</v>
      </c>
    </row>
    <row r="843" spans="1:7" x14ac:dyDescent="0.25">
      <c r="A843" s="1" t="s">
        <v>1058</v>
      </c>
      <c r="B843" s="2" t="str">
        <f>HYPERLINK("https://www.elsevier.com/locate/issn/2212-0548", "Digital Applications in Archaeology and Cultural Heritage")</f>
        <v>Digital Applications in Archaeology and Cultural Heritage</v>
      </c>
      <c r="C843" s="1" t="s">
        <v>10</v>
      </c>
      <c r="D843" s="1">
        <v>2810</v>
      </c>
      <c r="E843" s="1">
        <v>2630</v>
      </c>
      <c r="F843" s="1">
        <v>2250</v>
      </c>
      <c r="G843" s="1">
        <v>348520</v>
      </c>
    </row>
    <row r="844" spans="1:7" x14ac:dyDescent="0.25">
      <c r="A844" s="1" t="s">
        <v>1059</v>
      </c>
      <c r="B844" s="2" t="str">
        <f>HYPERLINK("https://www.elsevier.com/locate/issn/2666-9544", "Digital Business")</f>
        <v>Digital Business</v>
      </c>
      <c r="C844" s="1" t="s">
        <v>23</v>
      </c>
      <c r="D844" s="1">
        <v>1630</v>
      </c>
      <c r="E844" s="1">
        <v>1520</v>
      </c>
      <c r="F844" s="1">
        <v>1300</v>
      </c>
      <c r="G844" s="1">
        <v>202170</v>
      </c>
    </row>
    <row r="845" spans="1:7" x14ac:dyDescent="0.25">
      <c r="A845" s="1" t="s">
        <v>1060</v>
      </c>
      <c r="B845" s="2" t="str">
        <f>HYPERLINK("https://www.elsevier.com/locate/issn/2772-5081", "Digital Chemical Engineering")</f>
        <v>Digital Chemical Engineering</v>
      </c>
      <c r="C845" s="1" t="s">
        <v>23</v>
      </c>
      <c r="D845" s="1">
        <v>1650</v>
      </c>
      <c r="E845" s="1">
        <v>1540</v>
      </c>
      <c r="F845" s="1">
        <v>1320</v>
      </c>
      <c r="G845" s="1">
        <v>204650</v>
      </c>
    </row>
    <row r="846" spans="1:7" x14ac:dyDescent="0.25">
      <c r="A846" s="1" t="s">
        <v>1061</v>
      </c>
      <c r="B846" s="2" t="str">
        <f>HYPERLINK("https://www.elsevier.com/locate/issn/2589-3777", "Digital Chinese Medicine")</f>
        <v>Digital Chinese Medicine</v>
      </c>
      <c r="C846" s="1" t="s">
        <v>34</v>
      </c>
      <c r="D846" s="1" t="s">
        <v>324</v>
      </c>
      <c r="E846" s="1" t="s">
        <v>324</v>
      </c>
      <c r="F846" s="1" t="s">
        <v>324</v>
      </c>
      <c r="G846" s="1" t="s">
        <v>324</v>
      </c>
    </row>
    <row r="847" spans="1:7" x14ac:dyDescent="0.25">
      <c r="A847" s="1" t="s">
        <v>1062</v>
      </c>
      <c r="B847" s="2" t="str">
        <f>HYPERLINK("https://www.elsevier.com/locate/issn/2352-8648", "Digital Communications and Networks")</f>
        <v>Digital Communications and Networks</v>
      </c>
      <c r="C847" s="1" t="s">
        <v>34</v>
      </c>
      <c r="D847" s="1">
        <v>800</v>
      </c>
      <c r="E847" s="1">
        <v>750</v>
      </c>
      <c r="F847" s="1">
        <v>640</v>
      </c>
      <c r="G847" s="1">
        <v>99220</v>
      </c>
    </row>
    <row r="848" spans="1:7" x14ac:dyDescent="0.25">
      <c r="A848" s="1" t="s">
        <v>1063</v>
      </c>
      <c r="B848" s="2" t="str">
        <f>HYPERLINK("https://www.elsevier.com/locate/issn/2950-6433", "Digital Dentistry Journal")</f>
        <v>Digital Dentistry Journal</v>
      </c>
      <c r="C848" s="1" t="s">
        <v>23</v>
      </c>
      <c r="D848" s="1">
        <v>2300</v>
      </c>
      <c r="E848" s="1">
        <v>2150</v>
      </c>
      <c r="F848" s="1">
        <v>1840</v>
      </c>
      <c r="G848" s="1">
        <v>285270</v>
      </c>
    </row>
    <row r="849" spans="1:7" x14ac:dyDescent="0.25">
      <c r="A849" s="1" t="s">
        <v>1064</v>
      </c>
      <c r="B849" s="2" t="str">
        <f>HYPERLINK("https://www.elsevier.com/locate/issn/2950-550X", "Digital Engineering")</f>
        <v>Digital Engineering</v>
      </c>
      <c r="C849" s="1" t="s">
        <v>23</v>
      </c>
      <c r="D849" s="1">
        <v>1740</v>
      </c>
      <c r="E849" s="1">
        <v>1630</v>
      </c>
      <c r="F849" s="1">
        <v>1390</v>
      </c>
      <c r="G849" s="1">
        <v>215810</v>
      </c>
    </row>
    <row r="850" spans="1:7" x14ac:dyDescent="0.25">
      <c r="A850" s="1" t="s">
        <v>1065</v>
      </c>
      <c r="B850" s="2" t="str">
        <f>HYPERLINK("https://www.elsevier.com/locate/issn/2666-3783", "Digital Geography and Society")</f>
        <v>Digital Geography and Society</v>
      </c>
      <c r="C850" s="1" t="s">
        <v>23</v>
      </c>
      <c r="D850" s="1">
        <v>1500</v>
      </c>
      <c r="E850" s="1">
        <v>1400</v>
      </c>
      <c r="F850" s="1">
        <v>1200</v>
      </c>
      <c r="G850" s="1">
        <v>186050</v>
      </c>
    </row>
    <row r="851" spans="1:7" x14ac:dyDescent="0.25">
      <c r="A851" s="1" t="s">
        <v>1066</v>
      </c>
      <c r="B851" s="2" t="str">
        <f>HYPERLINK("https://www.elsevier.com/locate/issn/1051-2004", "Digital Signal Processing")</f>
        <v>Digital Signal Processing</v>
      </c>
      <c r="C851" s="1" t="s">
        <v>10</v>
      </c>
      <c r="D851" s="1">
        <v>2580</v>
      </c>
      <c r="E851" s="1">
        <v>2410</v>
      </c>
      <c r="F851" s="1">
        <v>2070</v>
      </c>
      <c r="G851" s="1">
        <v>320000</v>
      </c>
    </row>
    <row r="852" spans="1:7" x14ac:dyDescent="0.25">
      <c r="A852" s="1" t="s">
        <v>1067</v>
      </c>
      <c r="B852" s="2" t="str">
        <f>HYPERLINK("https://www.elsevier.com/locate/issn/1936-6574", "Disability and Health Journal")</f>
        <v>Disability and Health Journal</v>
      </c>
      <c r="C852" s="1" t="s">
        <v>10</v>
      </c>
      <c r="D852" s="1">
        <v>4530</v>
      </c>
      <c r="E852" s="1">
        <v>4240</v>
      </c>
      <c r="F852" s="1">
        <v>3630</v>
      </c>
      <c r="G852" s="1">
        <v>561860</v>
      </c>
    </row>
    <row r="853" spans="1:7" x14ac:dyDescent="0.25">
      <c r="A853" s="1" t="s">
        <v>1068</v>
      </c>
      <c r="B853" s="2" t="str">
        <f>HYPERLINK("https://www.elsevier.com/locate/issn/0166-218X", "Discrete Applied Mathematics")</f>
        <v>Discrete Applied Mathematics</v>
      </c>
      <c r="C853" s="1" t="s">
        <v>10</v>
      </c>
      <c r="D853" s="1">
        <v>3090</v>
      </c>
      <c r="E853" s="1">
        <v>2890</v>
      </c>
      <c r="F853" s="1">
        <v>2470</v>
      </c>
      <c r="G853" s="1">
        <v>383250</v>
      </c>
    </row>
    <row r="854" spans="1:7" x14ac:dyDescent="0.25">
      <c r="A854" s="1" t="s">
        <v>1069</v>
      </c>
      <c r="B854" s="2" t="str">
        <f>HYPERLINK("https://www.elsevier.com/locate/issn/0012-365X", "Discrete Mathematics")</f>
        <v>Discrete Mathematics</v>
      </c>
      <c r="C854" s="1" t="s">
        <v>10</v>
      </c>
      <c r="D854" s="1">
        <v>3320</v>
      </c>
      <c r="E854" s="1">
        <v>3110</v>
      </c>
      <c r="F854" s="1">
        <v>2660</v>
      </c>
      <c r="G854" s="1">
        <v>411780</v>
      </c>
    </row>
    <row r="855" spans="1:7" x14ac:dyDescent="0.25">
      <c r="A855" s="1" t="s">
        <v>1070</v>
      </c>
      <c r="B855" s="2" t="str">
        <f>HYPERLINK("https://www.elsevier.com/locate/issn/1572-5286", "Discrete Optimization")</f>
        <v>Discrete Optimization</v>
      </c>
      <c r="C855" s="1" t="s">
        <v>10</v>
      </c>
      <c r="D855" s="1">
        <v>2760</v>
      </c>
      <c r="E855" s="1">
        <v>2580</v>
      </c>
      <c r="F855" s="1">
        <v>2210</v>
      </c>
      <c r="G855" s="1">
        <v>342320</v>
      </c>
    </row>
    <row r="856" spans="1:7" x14ac:dyDescent="0.25">
      <c r="A856" s="1" t="s">
        <v>1071</v>
      </c>
      <c r="B856" s="2" t="str">
        <f>HYPERLINK("https://www.elsevier.com/locate/issn/3050-9998", "Disease and Therapeutics")</f>
        <v>Disease and Therapeutics</v>
      </c>
      <c r="C856" s="1" t="s">
        <v>23</v>
      </c>
      <c r="D856" s="1">
        <v>3000</v>
      </c>
      <c r="E856" s="1">
        <v>2810</v>
      </c>
      <c r="F856" s="1">
        <v>2400</v>
      </c>
      <c r="G856" s="1">
        <v>372090</v>
      </c>
    </row>
    <row r="857" spans="1:7" x14ac:dyDescent="0.25">
      <c r="A857" s="1" t="s">
        <v>1072</v>
      </c>
      <c r="B857" s="2" t="str">
        <f>HYPERLINK("https://www.elsevier.com/locate/issn/0011-5029", "Disease-a-Month")</f>
        <v>Disease-a-Month</v>
      </c>
      <c r="C857" s="1" t="s">
        <v>10</v>
      </c>
      <c r="D857" s="1">
        <v>3580</v>
      </c>
      <c r="E857" s="1">
        <v>3350</v>
      </c>
      <c r="F857" s="1">
        <v>2870</v>
      </c>
      <c r="G857" s="1">
        <v>444030</v>
      </c>
    </row>
    <row r="858" spans="1:7" x14ac:dyDescent="0.25">
      <c r="A858" s="1" t="s">
        <v>1073</v>
      </c>
      <c r="B858" s="2" t="str">
        <f>HYPERLINK("https://www.elsevier.com/locate/issn/0141-9382", "Displays")</f>
        <v>Displays</v>
      </c>
      <c r="C858" s="1" t="s">
        <v>10</v>
      </c>
      <c r="D858" s="1">
        <v>2450</v>
      </c>
      <c r="E858" s="1">
        <v>2290</v>
      </c>
      <c r="F858" s="1">
        <v>1960</v>
      </c>
      <c r="G858" s="1">
        <v>303870</v>
      </c>
    </row>
    <row r="859" spans="1:7" x14ac:dyDescent="0.25">
      <c r="A859" s="1" t="s">
        <v>1074</v>
      </c>
      <c r="B859" s="2" t="str">
        <f>HYPERLINK("https://www.elsevier.com/locate/issn/1568-7864", "DNA Repair")</f>
        <v>DNA Repair</v>
      </c>
      <c r="C859" s="1" t="s">
        <v>10</v>
      </c>
      <c r="D859" s="1">
        <v>3390</v>
      </c>
      <c r="E859" s="1">
        <v>3170</v>
      </c>
      <c r="F859" s="1">
        <v>2710</v>
      </c>
      <c r="G859" s="1">
        <v>420460</v>
      </c>
    </row>
    <row r="860" spans="1:7" x14ac:dyDescent="0.25">
      <c r="A860" s="1" t="s">
        <v>1075</v>
      </c>
      <c r="B860" s="2" t="str">
        <f>HYPERLINK("https://www.elsevier.com/locate/issn/0739-7240", "Domestic Animal Endocrinology")</f>
        <v>Domestic Animal Endocrinology</v>
      </c>
      <c r="C860" s="1" t="s">
        <v>10</v>
      </c>
      <c r="D860" s="1">
        <v>3740</v>
      </c>
      <c r="E860" s="1">
        <v>3500</v>
      </c>
      <c r="F860" s="1">
        <v>2990</v>
      </c>
      <c r="G860" s="1">
        <v>463870</v>
      </c>
    </row>
    <row r="861" spans="1:7" x14ac:dyDescent="0.25">
      <c r="A861" s="1" t="s">
        <v>1076</v>
      </c>
      <c r="B861" s="2" t="str">
        <f>HYPERLINK("https://www.elsevier.com/locate/issn/1624-5687", "Douleurs : Évaluation – Diagnostic – Traitement")</f>
        <v>Douleurs : Évaluation – Diagnostic – Traitement</v>
      </c>
      <c r="C861" s="1" t="s">
        <v>10</v>
      </c>
      <c r="D861" s="1">
        <v>3140</v>
      </c>
      <c r="E861" s="1">
        <v>2860</v>
      </c>
      <c r="F861" s="1">
        <v>2510</v>
      </c>
      <c r="G861" s="1">
        <v>389450</v>
      </c>
    </row>
    <row r="862" spans="1:7" x14ac:dyDescent="0.25">
      <c r="A862" s="1" t="s">
        <v>1077</v>
      </c>
      <c r="B862" s="2" t="str">
        <f>HYPERLINK("https://www.elsevier.com/locate/issn/0376-8716", "Drug and Alcohol Dependence")</f>
        <v>Drug and Alcohol Dependence</v>
      </c>
      <c r="C862" s="1" t="s">
        <v>10</v>
      </c>
      <c r="D862" s="1">
        <v>4380</v>
      </c>
      <c r="E862" s="1">
        <v>4100</v>
      </c>
      <c r="F862" s="1">
        <v>3510</v>
      </c>
      <c r="G862" s="1">
        <v>543250</v>
      </c>
    </row>
    <row r="863" spans="1:7" x14ac:dyDescent="0.25">
      <c r="A863" s="1" t="s">
        <v>1078</v>
      </c>
      <c r="B863" s="2" t="str">
        <f>HYPERLINK("https://www.elsevier.com/locate/issn/2772-7246", "Drug and Alcohol Dependence Reports")</f>
        <v>Drug and Alcohol Dependence Reports</v>
      </c>
      <c r="C863" s="1" t="s">
        <v>23</v>
      </c>
      <c r="D863" s="1">
        <v>2120</v>
      </c>
      <c r="E863" s="1">
        <v>1980</v>
      </c>
      <c r="F863" s="1">
        <v>1700</v>
      </c>
      <c r="G863" s="1">
        <v>262940</v>
      </c>
    </row>
    <row r="864" spans="1:7" x14ac:dyDescent="0.25">
      <c r="A864" s="1" t="s">
        <v>1079</v>
      </c>
      <c r="B864" s="2" t="str">
        <f>HYPERLINK("https://www.elsevier.com/locate/issn/1359-6446", "Drug Discovery Today")</f>
        <v>Drug Discovery Today</v>
      </c>
      <c r="C864" s="1" t="s">
        <v>10</v>
      </c>
      <c r="D864" s="1">
        <v>4720</v>
      </c>
      <c r="E864" s="1">
        <v>4420</v>
      </c>
      <c r="F864" s="1">
        <v>3780</v>
      </c>
      <c r="G864" s="1">
        <v>585420</v>
      </c>
    </row>
    <row r="865" spans="1:7" x14ac:dyDescent="0.25">
      <c r="A865" s="1" t="s">
        <v>1080</v>
      </c>
      <c r="B865" s="2" t="str">
        <f>HYPERLINK("https://www.elsevier.com/locate/issn/0090-9556", "Drug Metabolism and Disposition")</f>
        <v>Drug Metabolism and Disposition</v>
      </c>
      <c r="C865" s="1" t="s">
        <v>10</v>
      </c>
      <c r="D865" s="1">
        <v>3500</v>
      </c>
      <c r="E865" s="1">
        <v>3270</v>
      </c>
      <c r="F865" s="1">
        <v>2800</v>
      </c>
      <c r="G865" s="1">
        <v>434110</v>
      </c>
    </row>
    <row r="866" spans="1:7" x14ac:dyDescent="0.25">
      <c r="A866" s="1" t="s">
        <v>1081</v>
      </c>
      <c r="B866" s="2" t="str">
        <f>HYPERLINK("https://www.elsevier.com/locate/issn/1347-4367", "Drug Metabolism and Pharmacokinetics")</f>
        <v>Drug Metabolism and Pharmacokinetics</v>
      </c>
      <c r="C866" s="1" t="s">
        <v>10</v>
      </c>
      <c r="D866" s="1">
        <v>3580</v>
      </c>
      <c r="E866" s="1">
        <v>3350</v>
      </c>
      <c r="F866" s="1">
        <v>2870</v>
      </c>
      <c r="G866" s="1">
        <v>444030</v>
      </c>
    </row>
    <row r="867" spans="1:7" x14ac:dyDescent="0.25">
      <c r="A867" s="1" t="s">
        <v>1082</v>
      </c>
      <c r="B867" s="2" t="str">
        <f>HYPERLINK("https://www.elsevier.com/locate/issn/1368-7646", "Drug Resistance Updates")</f>
        <v>Drug Resistance Updates</v>
      </c>
      <c r="C867" s="1" t="s">
        <v>10</v>
      </c>
      <c r="D867" s="1">
        <v>5410</v>
      </c>
      <c r="E867" s="1">
        <v>5060</v>
      </c>
      <c r="F867" s="1">
        <v>4330</v>
      </c>
      <c r="G867" s="1">
        <v>671000</v>
      </c>
    </row>
    <row r="868" spans="1:7" x14ac:dyDescent="0.25">
      <c r="A868" s="1" t="s">
        <v>1083</v>
      </c>
      <c r="B868" s="2" t="str">
        <f>HYPERLINK("https://www.elsevier.com/locate/issn/0143-7208", "Dyes and Pigments")</f>
        <v>Dyes and Pigments</v>
      </c>
      <c r="C868" s="1" t="s">
        <v>10</v>
      </c>
      <c r="D868" s="1">
        <v>3590</v>
      </c>
      <c r="E868" s="1">
        <v>3360</v>
      </c>
      <c r="F868" s="1">
        <v>2870</v>
      </c>
      <c r="G868" s="1">
        <v>445270</v>
      </c>
    </row>
    <row r="869" spans="1:7" x14ac:dyDescent="0.25">
      <c r="A869" s="1" t="s">
        <v>1084</v>
      </c>
      <c r="B869" s="2" t="str">
        <f>HYPERLINK("https://www.elsevier.com/locate/issn/0377-0265", "Dynamics of Atmospheres and Oceans")</f>
        <v>Dynamics of Atmospheres and Oceans</v>
      </c>
      <c r="C869" s="1" t="s">
        <v>10</v>
      </c>
      <c r="D869" s="1">
        <v>3000</v>
      </c>
      <c r="E869" s="1">
        <v>2810</v>
      </c>
      <c r="F869" s="1">
        <v>2400</v>
      </c>
      <c r="G869" s="1">
        <v>372090</v>
      </c>
    </row>
    <row r="870" spans="1:7" x14ac:dyDescent="0.25">
      <c r="A870" s="1" t="s">
        <v>1085</v>
      </c>
      <c r="B870" s="2" t="str">
        <f>HYPERLINK("https://www.elsevier.com/locate/issn/0885-2006", "Early Childhood Research Quarterly")</f>
        <v>Early Childhood Research Quarterly</v>
      </c>
      <c r="C870" s="1" t="s">
        <v>10</v>
      </c>
      <c r="D870" s="1">
        <v>4170</v>
      </c>
      <c r="E870" s="1">
        <v>3900</v>
      </c>
      <c r="F870" s="1">
        <v>3340</v>
      </c>
      <c r="G870" s="1">
        <v>517210</v>
      </c>
    </row>
    <row r="871" spans="1:7" x14ac:dyDescent="0.25">
      <c r="A871" s="1" t="s">
        <v>1086</v>
      </c>
      <c r="B871" s="2" t="str">
        <f>HYPERLINK("https://www.elsevier.com/locate/issn/0378-3782", "Early Human Development")</f>
        <v>Early Human Development</v>
      </c>
      <c r="C871" s="1" t="s">
        <v>10</v>
      </c>
      <c r="D871" s="1">
        <v>3840</v>
      </c>
      <c r="E871" s="1">
        <v>3590</v>
      </c>
      <c r="F871" s="1">
        <v>3070</v>
      </c>
      <c r="G871" s="1">
        <v>476280</v>
      </c>
    </row>
    <row r="872" spans="1:7" x14ac:dyDescent="0.25">
      <c r="A872" s="1" t="s">
        <v>1087</v>
      </c>
      <c r="B872" s="2" t="str">
        <f>HYPERLINK("https://www.elsevier.com/locate/issn/0012-821X", "Earth and Planetary Science Letters")</f>
        <v>Earth and Planetary Science Letters</v>
      </c>
      <c r="C872" s="1" t="s">
        <v>10</v>
      </c>
      <c r="D872" s="1">
        <v>4670</v>
      </c>
      <c r="E872" s="1">
        <v>4370</v>
      </c>
      <c r="F872" s="1">
        <v>3740</v>
      </c>
      <c r="G872" s="1">
        <v>579220</v>
      </c>
    </row>
    <row r="873" spans="1:7" x14ac:dyDescent="0.25">
      <c r="A873" s="1" t="s">
        <v>1088</v>
      </c>
      <c r="B873" s="2" t="str">
        <f>HYPERLINK("https://www.elsevier.com/locate/issn/2950-4767", "Earth Critical Zone")</f>
        <v>Earth Critical Zone</v>
      </c>
      <c r="C873" s="1" t="s">
        <v>23</v>
      </c>
      <c r="D873" s="1">
        <v>1800</v>
      </c>
      <c r="E873" s="1">
        <v>1680</v>
      </c>
      <c r="F873" s="1">
        <v>1440</v>
      </c>
      <c r="G873" s="1">
        <v>223250</v>
      </c>
    </row>
    <row r="874" spans="1:7" x14ac:dyDescent="0.25">
      <c r="A874" s="1" t="s">
        <v>1089</v>
      </c>
      <c r="B874" s="2" t="str">
        <f>HYPERLINK("https://www.elsevier.com/locate/issn/2950-1547", "Earth Energy Science")</f>
        <v>Earth Energy Science</v>
      </c>
      <c r="C874" s="1" t="s">
        <v>34</v>
      </c>
      <c r="D874" s="1" t="s">
        <v>324</v>
      </c>
      <c r="E874" s="1" t="s">
        <v>324</v>
      </c>
      <c r="F874" s="1" t="s">
        <v>324</v>
      </c>
      <c r="G874" s="1" t="s">
        <v>324</v>
      </c>
    </row>
    <row r="875" spans="1:7" x14ac:dyDescent="0.25">
      <c r="A875" s="1" t="s">
        <v>1090</v>
      </c>
      <c r="B875" s="2" t="str">
        <f>HYPERLINK("https://www.elsevier.com/locate/issn/2950-4759", "Earth History and Biodiversity")</f>
        <v>Earth History and Biodiversity</v>
      </c>
      <c r="C875" s="1" t="s">
        <v>23</v>
      </c>
      <c r="D875" s="1">
        <v>2200</v>
      </c>
      <c r="E875" s="1">
        <v>2060</v>
      </c>
      <c r="F875" s="1">
        <v>1760</v>
      </c>
      <c r="G875" s="1">
        <v>272870</v>
      </c>
    </row>
    <row r="876" spans="1:7" x14ac:dyDescent="0.25">
      <c r="A876" s="1" t="s">
        <v>1091</v>
      </c>
      <c r="B876" s="2" t="str">
        <f>HYPERLINK("https://www.elsevier.com/locate/issn/2589-8116", "Earth System Governance")</f>
        <v>Earth System Governance</v>
      </c>
      <c r="C876" s="1" t="s">
        <v>23</v>
      </c>
      <c r="D876" s="1">
        <v>2180</v>
      </c>
      <c r="E876" s="1">
        <v>2040</v>
      </c>
      <c r="F876" s="1">
        <v>1750</v>
      </c>
      <c r="G876" s="1">
        <v>270390</v>
      </c>
    </row>
    <row r="877" spans="1:7" x14ac:dyDescent="0.25">
      <c r="A877" s="1" t="s">
        <v>1092</v>
      </c>
      <c r="B877" s="2" t="str">
        <f>HYPERLINK("https://www.elsevier.com/locate/issn/0012-8252", "Earth-Science Reviews")</f>
        <v>Earth-Science Reviews</v>
      </c>
      <c r="C877" s="1" t="s">
        <v>10</v>
      </c>
      <c r="D877" s="1">
        <v>5120</v>
      </c>
      <c r="E877" s="1">
        <v>4790</v>
      </c>
      <c r="F877" s="1">
        <v>4100</v>
      </c>
      <c r="G877" s="1">
        <v>635030</v>
      </c>
    </row>
    <row r="878" spans="1:7" x14ac:dyDescent="0.25">
      <c r="A878" s="1" t="s">
        <v>1093</v>
      </c>
      <c r="B878" s="2" t="str">
        <f>HYPERLINK("https://www.elsevier.com/locate/issn/2772-4670", "Earthquake Research Advances")</f>
        <v>Earthquake Research Advances</v>
      </c>
      <c r="C878" s="1" t="s">
        <v>34</v>
      </c>
      <c r="D878" s="1" t="s">
        <v>324</v>
      </c>
      <c r="E878" s="1" t="s">
        <v>324</v>
      </c>
      <c r="F878" s="1" t="s">
        <v>324</v>
      </c>
      <c r="G878" s="1" t="s">
        <v>324</v>
      </c>
    </row>
    <row r="879" spans="1:7" x14ac:dyDescent="0.25">
      <c r="A879" s="1" t="s">
        <v>1094</v>
      </c>
      <c r="B879" s="2" t="str">
        <f>HYPERLINK("https://www.elsevier.com/locate/issn/1674-4519", "Earthquake Science")</f>
        <v>Earthquake Science</v>
      </c>
      <c r="C879" s="1" t="s">
        <v>34</v>
      </c>
      <c r="D879" s="1" t="s">
        <v>324</v>
      </c>
      <c r="E879" s="1" t="s">
        <v>324</v>
      </c>
      <c r="F879" s="1" t="s">
        <v>324</v>
      </c>
      <c r="G879" s="1" t="s">
        <v>324</v>
      </c>
    </row>
    <row r="880" spans="1:7" x14ac:dyDescent="0.25">
      <c r="A880" s="1" t="s">
        <v>1095</v>
      </c>
      <c r="B880" s="2" t="str">
        <f>HYPERLINK("https://www.elsevier.com/locate/issn/1471-0153", "Eating Behaviors")</f>
        <v>Eating Behaviors</v>
      </c>
      <c r="C880" s="1" t="s">
        <v>10</v>
      </c>
      <c r="D880" s="1">
        <v>3270</v>
      </c>
      <c r="E880" s="1">
        <v>3060</v>
      </c>
      <c r="F880" s="1">
        <v>2620</v>
      </c>
      <c r="G880" s="1">
        <v>405580</v>
      </c>
    </row>
    <row r="881" spans="1:7" x14ac:dyDescent="0.25">
      <c r="A881" s="1" t="s">
        <v>1096</v>
      </c>
      <c r="B881" s="2" t="str">
        <f>HYPERLINK("https://www.elsevier.com/locate/issn/2352-3964", "EBioMedicine")</f>
        <v>EBioMedicine</v>
      </c>
      <c r="C881" s="1" t="s">
        <v>23</v>
      </c>
      <c r="D881" s="1">
        <v>6360</v>
      </c>
      <c r="E881" s="1">
        <v>5950</v>
      </c>
      <c r="F881" s="1">
        <v>5090</v>
      </c>
      <c r="G881" s="1">
        <v>788830</v>
      </c>
    </row>
    <row r="882" spans="1:7" x14ac:dyDescent="0.25">
      <c r="A882" s="1" t="s">
        <v>1097</v>
      </c>
      <c r="B882" s="2" t="str">
        <f>HYPERLINK("https://www.elsevier.com/locate/issn/2589-5370", "EClinicalMedicine")</f>
        <v>EClinicalMedicine</v>
      </c>
      <c r="C882" s="1" t="s">
        <v>23</v>
      </c>
      <c r="D882" s="1">
        <v>6360</v>
      </c>
      <c r="E882" s="1">
        <v>5950</v>
      </c>
      <c r="F882" s="1">
        <v>5090</v>
      </c>
      <c r="G882" s="1">
        <v>788830</v>
      </c>
    </row>
    <row r="883" spans="1:7" x14ac:dyDescent="0.25">
      <c r="A883" s="1" t="s">
        <v>1098</v>
      </c>
      <c r="B883" s="2" t="str">
        <f>HYPERLINK("https://www.elsevier.com/locate/issn/2772-9850", "Eco-Environment &amp; Health")</f>
        <v>Eco-Environment &amp; Health</v>
      </c>
      <c r="C883" s="1" t="s">
        <v>23</v>
      </c>
      <c r="D883" s="1">
        <v>2500</v>
      </c>
      <c r="E883" s="1">
        <v>2340</v>
      </c>
      <c r="F883" s="1">
        <v>2000</v>
      </c>
      <c r="G883" s="1">
        <v>310080</v>
      </c>
    </row>
    <row r="884" spans="1:7" x14ac:dyDescent="0.25">
      <c r="A884" s="1" t="s">
        <v>1099</v>
      </c>
      <c r="B884" s="2" t="str">
        <f>HYPERLINK("https://www.elsevier.com/locate/issn/1642-3593", "Ecohydrology &amp; Hydrobiology")</f>
        <v>Ecohydrology &amp; Hydrobiology</v>
      </c>
      <c r="C884" s="1" t="s">
        <v>10</v>
      </c>
      <c r="D884" s="1">
        <v>3420</v>
      </c>
      <c r="E884" s="1">
        <v>3200</v>
      </c>
      <c r="F884" s="1">
        <v>2740</v>
      </c>
      <c r="G884" s="1">
        <v>424180</v>
      </c>
    </row>
    <row r="885" spans="1:7" x14ac:dyDescent="0.25">
      <c r="A885" s="1" t="s">
        <v>1100</v>
      </c>
      <c r="B885" s="2" t="str">
        <f>HYPERLINK("https://www.elsevier.com/locate/issn/1476-945X", "Ecological Complexity")</f>
        <v>Ecological Complexity</v>
      </c>
      <c r="C885" s="1" t="s">
        <v>10</v>
      </c>
      <c r="D885" s="1">
        <v>2990</v>
      </c>
      <c r="E885" s="1">
        <v>2800</v>
      </c>
      <c r="F885" s="1">
        <v>2390</v>
      </c>
      <c r="G885" s="1">
        <v>370850</v>
      </c>
    </row>
    <row r="886" spans="1:7" x14ac:dyDescent="0.25">
      <c r="A886" s="1" t="s">
        <v>1101</v>
      </c>
      <c r="B886" s="2" t="str">
        <f>HYPERLINK("https://www.elsevier.com/locate/issn/0921-8009", "Ecological Economics")</f>
        <v>Ecological Economics</v>
      </c>
      <c r="C886" s="1" t="s">
        <v>10</v>
      </c>
      <c r="D886" s="1">
        <v>3730</v>
      </c>
      <c r="E886" s="1">
        <v>3490</v>
      </c>
      <c r="F886" s="1">
        <v>2990</v>
      </c>
      <c r="G886" s="1">
        <v>462630</v>
      </c>
    </row>
    <row r="887" spans="1:7" x14ac:dyDescent="0.25">
      <c r="A887" s="1" t="s">
        <v>1102</v>
      </c>
      <c r="B887" s="2" t="str">
        <f>HYPERLINK("https://www.elsevier.com/locate/issn/0925-8574", "Ecological Engineering")</f>
        <v>Ecological Engineering</v>
      </c>
      <c r="C887" s="1" t="s">
        <v>10</v>
      </c>
      <c r="D887" s="1">
        <v>3910</v>
      </c>
      <c r="E887" s="1">
        <v>3660</v>
      </c>
      <c r="F887" s="1">
        <v>3130</v>
      </c>
      <c r="G887" s="1">
        <v>484960</v>
      </c>
    </row>
    <row r="888" spans="1:7" x14ac:dyDescent="0.25">
      <c r="A888" s="1" t="s">
        <v>1103</v>
      </c>
      <c r="B888" s="2" t="str">
        <f>HYPERLINK("https://www.elsevier.com/locate/issn/2950-5097", "Ecological Frontiers")</f>
        <v>Ecological Frontiers</v>
      </c>
      <c r="C888" s="1" t="s">
        <v>10</v>
      </c>
      <c r="D888" s="1">
        <v>2500</v>
      </c>
      <c r="E888" s="1">
        <v>2340</v>
      </c>
      <c r="F888" s="1">
        <v>2000</v>
      </c>
      <c r="G888" s="1">
        <v>310080</v>
      </c>
    </row>
    <row r="889" spans="1:7" x14ac:dyDescent="0.25">
      <c r="A889" s="1" t="s">
        <v>1104</v>
      </c>
      <c r="B889" s="2" t="str">
        <f>HYPERLINK("https://www.elsevier.com/locate/issn/2405-9854", "Ecological Genetics and Genomics")</f>
        <v>Ecological Genetics and Genomics</v>
      </c>
      <c r="C889" s="1" t="s">
        <v>10</v>
      </c>
      <c r="D889" s="1">
        <v>2540</v>
      </c>
      <c r="E889" s="1">
        <v>2380</v>
      </c>
      <c r="F889" s="1">
        <v>2030</v>
      </c>
      <c r="G889" s="1">
        <v>315040</v>
      </c>
    </row>
    <row r="890" spans="1:7" x14ac:dyDescent="0.25">
      <c r="A890" s="1" t="s">
        <v>1105</v>
      </c>
      <c r="B890" s="2" t="str">
        <f>HYPERLINK("https://www.elsevier.com/locate/issn/1470-160X", "Ecological Indicators")</f>
        <v>Ecological Indicators</v>
      </c>
      <c r="C890" s="1" t="s">
        <v>23</v>
      </c>
      <c r="D890" s="1">
        <v>3510</v>
      </c>
      <c r="E890" s="1">
        <v>3280</v>
      </c>
      <c r="F890" s="1">
        <v>2810</v>
      </c>
      <c r="G890" s="1">
        <v>435350</v>
      </c>
    </row>
    <row r="891" spans="1:7" x14ac:dyDescent="0.25">
      <c r="A891" s="1" t="s">
        <v>1106</v>
      </c>
      <c r="B891" s="2" t="str">
        <f>HYPERLINK("https://www.elsevier.com/locate/issn/1574-9541", "Ecological Informatics")</f>
        <v>Ecological Informatics</v>
      </c>
      <c r="C891" s="1" t="s">
        <v>23</v>
      </c>
      <c r="D891" s="1">
        <v>2660</v>
      </c>
      <c r="E891" s="1">
        <v>2490</v>
      </c>
      <c r="F891" s="1">
        <v>2130</v>
      </c>
      <c r="G891" s="1">
        <v>329920</v>
      </c>
    </row>
    <row r="892" spans="1:7" x14ac:dyDescent="0.25">
      <c r="A892" s="1" t="s">
        <v>1107</v>
      </c>
      <c r="B892" s="2" t="str">
        <f>HYPERLINK("https://www.elsevier.com/locate/issn/0304-3800", "Ecological Modelling")</f>
        <v>Ecological Modelling</v>
      </c>
      <c r="C892" s="1" t="s">
        <v>10</v>
      </c>
      <c r="D892" s="1">
        <v>2810</v>
      </c>
      <c r="E892" s="1">
        <v>2630</v>
      </c>
      <c r="F892" s="1">
        <v>2250</v>
      </c>
      <c r="G892" s="1">
        <v>348520</v>
      </c>
    </row>
    <row r="893" spans="1:7" x14ac:dyDescent="0.25">
      <c r="A893" s="1" t="s">
        <v>1108</v>
      </c>
      <c r="B893" s="2" t="str">
        <f>HYPERLINK("https://www.elsevier.com/locate/issn/2452-3062", "Econometrics and Statistics")</f>
        <v>Econometrics and Statistics</v>
      </c>
      <c r="C893" s="1" t="s">
        <v>10</v>
      </c>
      <c r="D893" s="1">
        <v>2340</v>
      </c>
      <c r="E893" s="1">
        <v>2190</v>
      </c>
      <c r="F893" s="1">
        <v>1870</v>
      </c>
      <c r="G893" s="1">
        <v>290230</v>
      </c>
    </row>
    <row r="894" spans="1:7" x14ac:dyDescent="0.25">
      <c r="A894" s="1" t="s">
        <v>1109</v>
      </c>
      <c r="B894" s="2" t="str">
        <f>HYPERLINK("https://www.elsevier.com/locate/issn/1517-7580", "EconomiA")</f>
        <v>EconomiA</v>
      </c>
      <c r="C894" s="1" t="s">
        <v>34</v>
      </c>
      <c r="D894" s="1" t="s">
        <v>324</v>
      </c>
      <c r="E894" s="1" t="s">
        <v>324</v>
      </c>
      <c r="F894" s="1" t="s">
        <v>324</v>
      </c>
      <c r="G894" s="1" t="s">
        <v>324</v>
      </c>
    </row>
    <row r="895" spans="1:7" x14ac:dyDescent="0.25">
      <c r="A895" s="1" t="s">
        <v>1110</v>
      </c>
      <c r="B895" s="2" t="str">
        <f>HYPERLINK("https://www.elsevier.com/locate/issn/0313-5926", "Economic Analysis and Policy")</f>
        <v>Economic Analysis and Policy</v>
      </c>
      <c r="C895" s="1" t="s">
        <v>10</v>
      </c>
      <c r="D895" s="1">
        <v>2890</v>
      </c>
      <c r="E895" s="1">
        <v>2700</v>
      </c>
      <c r="F895" s="1">
        <v>2310</v>
      </c>
      <c r="G895" s="1">
        <v>358450</v>
      </c>
    </row>
    <row r="896" spans="1:7" x14ac:dyDescent="0.25">
      <c r="A896" s="1" t="s">
        <v>1111</v>
      </c>
      <c r="B896" s="2" t="str">
        <f>HYPERLINK("https://www.elsevier.com/locate/issn/0264-9993", "Economic Modelling")</f>
        <v>Economic Modelling</v>
      </c>
      <c r="C896" s="1" t="s">
        <v>10</v>
      </c>
      <c r="D896" s="1">
        <v>3660</v>
      </c>
      <c r="E896" s="1">
        <v>3420</v>
      </c>
      <c r="F896" s="1">
        <v>2930</v>
      </c>
      <c r="G896" s="1">
        <v>453950</v>
      </c>
    </row>
    <row r="897" spans="1:7" x14ac:dyDescent="0.25">
      <c r="A897" s="1" t="s">
        <v>1112</v>
      </c>
      <c r="B897" s="2" t="str">
        <f>HYPERLINK("https://www.elsevier.com/locate/issn/0939-3625", "Economic Systems")</f>
        <v>Economic Systems</v>
      </c>
      <c r="C897" s="1" t="s">
        <v>10</v>
      </c>
      <c r="D897" s="1">
        <v>2930</v>
      </c>
      <c r="E897" s="1">
        <v>2740</v>
      </c>
      <c r="F897" s="1">
        <v>2350</v>
      </c>
      <c r="G897" s="1">
        <v>363410</v>
      </c>
    </row>
    <row r="898" spans="1:7" x14ac:dyDescent="0.25">
      <c r="A898" s="1" t="s">
        <v>1113</v>
      </c>
      <c r="B898" s="2" t="str">
        <f>HYPERLINK("https://www.elsevier.com/locate/issn/1570-677X", "Economics &amp; Human Biology")</f>
        <v>Economics &amp; Human Biology</v>
      </c>
      <c r="C898" s="1" t="s">
        <v>10</v>
      </c>
      <c r="D898" s="1">
        <v>3290</v>
      </c>
      <c r="E898" s="1">
        <v>3080</v>
      </c>
      <c r="F898" s="1">
        <v>2630</v>
      </c>
      <c r="G898" s="1">
        <v>408060</v>
      </c>
    </row>
    <row r="899" spans="1:7" x14ac:dyDescent="0.25">
      <c r="A899" s="1" t="s">
        <v>1114</v>
      </c>
      <c r="B899" s="2" t="str">
        <f>HYPERLINK("https://www.elsevier.com/locate/issn/0165-1765", "Economics Letters")</f>
        <v>Economics Letters</v>
      </c>
      <c r="C899" s="1" t="s">
        <v>10</v>
      </c>
      <c r="D899" s="1">
        <v>3030</v>
      </c>
      <c r="E899" s="1">
        <v>2830</v>
      </c>
      <c r="F899" s="1">
        <v>2430</v>
      </c>
      <c r="G899" s="1">
        <v>375810</v>
      </c>
    </row>
    <row r="900" spans="1:7" x14ac:dyDescent="0.25">
      <c r="A900" s="1" t="s">
        <v>1115</v>
      </c>
      <c r="B900" s="2" t="str">
        <f>HYPERLINK("https://www.elsevier.com/locate/issn/0272-7757", "Economics of Education Review")</f>
        <v>Economics of Education Review</v>
      </c>
      <c r="C900" s="1" t="s">
        <v>10</v>
      </c>
      <c r="D900" s="1">
        <v>2700</v>
      </c>
      <c r="E900" s="1">
        <v>2530</v>
      </c>
      <c r="F900" s="1">
        <v>2160</v>
      </c>
      <c r="G900" s="1">
        <v>334880</v>
      </c>
    </row>
    <row r="901" spans="1:7" x14ac:dyDescent="0.25">
      <c r="A901" s="1" t="s">
        <v>1116</v>
      </c>
      <c r="B901" s="2" t="str">
        <f>HYPERLINK("https://www.elsevier.com/locate/issn/2212-0122", "Economics of Transportation")</f>
        <v>Economics of Transportation</v>
      </c>
      <c r="C901" s="1" t="s">
        <v>10</v>
      </c>
      <c r="D901" s="1">
        <v>2400</v>
      </c>
      <c r="E901" s="1">
        <v>2250</v>
      </c>
      <c r="F901" s="1">
        <v>1920</v>
      </c>
      <c r="G901" s="1">
        <v>297670</v>
      </c>
    </row>
    <row r="902" spans="1:7" x14ac:dyDescent="0.25">
      <c r="A902" s="1" t="s">
        <v>1117</v>
      </c>
      <c r="B902" s="2" t="str">
        <f>HYPERLINK("https://www.elsevier.com/locate/issn/2212-0416", "Ecosystem Services")</f>
        <v>Ecosystem Services</v>
      </c>
      <c r="C902" s="1" t="s">
        <v>10</v>
      </c>
      <c r="D902" s="1">
        <v>4100</v>
      </c>
      <c r="E902" s="1">
        <v>3840</v>
      </c>
      <c r="F902" s="1">
        <v>3280</v>
      </c>
      <c r="G902" s="1">
        <v>508520</v>
      </c>
    </row>
    <row r="903" spans="1:7" x14ac:dyDescent="0.25">
      <c r="A903" s="1" t="s">
        <v>1118</v>
      </c>
      <c r="B903" s="2" t="str">
        <f>HYPERLINK("https://www.elsevier.com/locate/issn/0147-6513", "Ecotoxicology and Environmental Safety")</f>
        <v>Ecotoxicology and Environmental Safety</v>
      </c>
      <c r="C903" s="1" t="s">
        <v>23</v>
      </c>
      <c r="D903" s="1">
        <v>3400</v>
      </c>
      <c r="E903" s="1">
        <v>3180</v>
      </c>
      <c r="F903" s="1">
        <v>2720</v>
      </c>
      <c r="G903" s="1">
        <v>421700</v>
      </c>
    </row>
    <row r="904" spans="1:7" x14ac:dyDescent="0.25">
      <c r="A904" s="1" t="s">
        <v>1119</v>
      </c>
      <c r="B904" s="2" t="str">
        <f>HYPERLINK("https://www.elsevier.com/locate/issn/1575-1813", "Educación Médica")</f>
        <v>Educación Médica</v>
      </c>
      <c r="C904" s="1" t="s">
        <v>23</v>
      </c>
      <c r="D904" s="1">
        <v>640</v>
      </c>
      <c r="E904" s="1">
        <v>600</v>
      </c>
      <c r="F904" s="1">
        <v>510</v>
      </c>
      <c r="G904" s="1">
        <v>79380</v>
      </c>
    </row>
    <row r="905" spans="1:7" x14ac:dyDescent="0.25">
      <c r="A905" s="1" t="s">
        <v>1120</v>
      </c>
      <c r="B905" s="2" t="str">
        <f>HYPERLINK("https://www.elsevier.com/locate/issn/1749-7728", "Education for Chemical Engineers")</f>
        <v>Education for Chemical Engineers</v>
      </c>
      <c r="C905" s="1" t="s">
        <v>10</v>
      </c>
      <c r="D905" s="1">
        <v>3880</v>
      </c>
      <c r="E905" s="1">
        <v>3630</v>
      </c>
      <c r="F905" s="1">
        <v>3110</v>
      </c>
      <c r="G905" s="1">
        <v>481240</v>
      </c>
    </row>
    <row r="906" spans="1:7" x14ac:dyDescent="0.25">
      <c r="A906" s="1" t="s">
        <v>1121</v>
      </c>
      <c r="B906" s="2" t="str">
        <f>HYPERLINK("https://www.elsevier.com/locate/issn/1747-938X", "Educational Research Review")</f>
        <v>Educational Research Review</v>
      </c>
      <c r="C906" s="1" t="s">
        <v>10</v>
      </c>
      <c r="D906" s="1">
        <v>4620</v>
      </c>
      <c r="E906" s="1">
        <v>4320</v>
      </c>
      <c r="F906" s="1">
        <v>3700</v>
      </c>
      <c r="G906" s="1">
        <v>573020</v>
      </c>
    </row>
    <row r="907" spans="1:7" x14ac:dyDescent="0.25">
      <c r="A907" s="1" t="s">
        <v>1122</v>
      </c>
      <c r="B907" s="2" t="str">
        <f>HYPERLINK("https://www.elsevier.com/locate/issn/2667-0410", "EFB Bioeconomy Journal")</f>
        <v>EFB Bioeconomy Journal</v>
      </c>
      <c r="C907" s="1" t="s">
        <v>23</v>
      </c>
      <c r="D907" s="1">
        <v>1800</v>
      </c>
      <c r="E907" s="1">
        <v>1680</v>
      </c>
      <c r="F907" s="1">
        <v>1440</v>
      </c>
      <c r="G907" s="1">
        <v>223250</v>
      </c>
    </row>
    <row r="908" spans="1:7" x14ac:dyDescent="0.25">
      <c r="A908" s="1" t="s">
        <v>1123</v>
      </c>
      <c r="B908" s="2" t="str">
        <f>HYPERLINK("https://www.elsevier.com/locate/issn/1110-8665", "Egyptian Informatics Journal")</f>
        <v>Egyptian Informatics Journal</v>
      </c>
      <c r="C908" s="1" t="s">
        <v>23</v>
      </c>
      <c r="D908" s="1">
        <v>1200</v>
      </c>
      <c r="E908" s="1">
        <v>1120</v>
      </c>
      <c r="F908" s="1">
        <v>960</v>
      </c>
      <c r="G908" s="1">
        <v>148840</v>
      </c>
    </row>
    <row r="909" spans="1:7" x14ac:dyDescent="0.25">
      <c r="A909" s="1" t="s">
        <v>1124</v>
      </c>
      <c r="B909" s="2" t="str">
        <f>HYPERLINK("https://www.elsevier.com/locate/issn/1687-4285", "The Egyptian Journal of Aquatic Research")</f>
        <v>The Egyptian Journal of Aquatic Research</v>
      </c>
      <c r="C909" s="1" t="s">
        <v>23</v>
      </c>
      <c r="D909" s="1">
        <v>1200</v>
      </c>
      <c r="E909" s="1">
        <v>1120</v>
      </c>
      <c r="F909" s="1">
        <v>960</v>
      </c>
      <c r="G909" s="1">
        <v>148840</v>
      </c>
    </row>
    <row r="910" spans="1:7" x14ac:dyDescent="0.25">
      <c r="A910" s="1" t="s">
        <v>1125</v>
      </c>
      <c r="B910" s="2" t="str">
        <f>HYPERLINK("https://www.elsevier.com/locate/issn/1110-0621", "Egyptian Journal of Petroleum")</f>
        <v>Egyptian Journal of Petroleum</v>
      </c>
      <c r="C910" s="1" t="s">
        <v>34</v>
      </c>
      <c r="D910" s="1" t="s">
        <v>324</v>
      </c>
      <c r="E910" s="1" t="s">
        <v>324</v>
      </c>
      <c r="F910" s="1" t="s">
        <v>324</v>
      </c>
      <c r="G910" s="1" t="s">
        <v>324</v>
      </c>
    </row>
    <row r="911" spans="1:7" x14ac:dyDescent="0.25">
      <c r="A911" s="1" t="s">
        <v>1126</v>
      </c>
      <c r="B911" s="2" t="str">
        <f>HYPERLINK("https://www.elsevier.com/locate/issn/2772-610X", "EJC Pediatric Oncology")</f>
        <v>EJC Pediatric Oncology</v>
      </c>
      <c r="C911" s="1" t="s">
        <v>23</v>
      </c>
      <c r="D911" s="1">
        <v>2340</v>
      </c>
      <c r="E911" s="1">
        <v>2190</v>
      </c>
      <c r="F911" s="1">
        <v>1870</v>
      </c>
      <c r="G911" s="1">
        <v>290230</v>
      </c>
    </row>
    <row r="912" spans="1:7" x14ac:dyDescent="0.25">
      <c r="A912" s="1" t="s">
        <v>1127</v>
      </c>
      <c r="B912" s="2" t="str">
        <f>HYPERLINK("https://www.elsevier.com/locate/issn/2772-6118", "EJC Skin Cancer")</f>
        <v>EJC Skin Cancer</v>
      </c>
      <c r="C912" s="1" t="s">
        <v>23</v>
      </c>
      <c r="D912" s="1">
        <v>2340</v>
      </c>
      <c r="E912" s="1">
        <v>2190</v>
      </c>
      <c r="F912" s="1">
        <v>1870</v>
      </c>
      <c r="G912" s="1">
        <v>290230</v>
      </c>
    </row>
    <row r="913" spans="1:7" x14ac:dyDescent="0.25">
      <c r="A913" s="1" t="s">
        <v>1128</v>
      </c>
      <c r="B913" s="2" t="str">
        <f>HYPERLINK("https://www.elsevier.com/locate/issn/2666-688X", "EJVES Vascular Forum")</f>
        <v>EJVES Vascular Forum</v>
      </c>
      <c r="C913" s="1" t="s">
        <v>23</v>
      </c>
      <c r="D913" s="1">
        <v>2045</v>
      </c>
      <c r="E913" s="1">
        <v>1910</v>
      </c>
      <c r="F913" s="1">
        <v>1640</v>
      </c>
      <c r="G913" s="1">
        <v>253640</v>
      </c>
    </row>
    <row r="914" spans="1:7" x14ac:dyDescent="0.25">
      <c r="A914" s="1" t="s">
        <v>1129</v>
      </c>
      <c r="B914" s="2" t="str">
        <f>HYPERLINK("https://www.elsevier.com/locate/issn/0261-3794", "Electoral Studies")</f>
        <v>Electoral Studies</v>
      </c>
      <c r="C914" s="1" t="s">
        <v>10</v>
      </c>
      <c r="D914" s="1">
        <v>2840</v>
      </c>
      <c r="E914" s="1">
        <v>2660</v>
      </c>
      <c r="F914" s="1">
        <v>2270</v>
      </c>
      <c r="G914" s="1">
        <v>352250</v>
      </c>
    </row>
    <row r="915" spans="1:7" x14ac:dyDescent="0.25">
      <c r="A915" s="1" t="s">
        <v>1130</v>
      </c>
      <c r="B915" s="2" t="str">
        <f>HYPERLINK("https://www.elsevier.com/locate/issn/0378-7796", "Electric Power Systems Research")</f>
        <v>Electric Power Systems Research</v>
      </c>
      <c r="C915" s="1" t="s">
        <v>10</v>
      </c>
      <c r="D915" s="1">
        <v>2810</v>
      </c>
      <c r="E915" s="1">
        <v>2630</v>
      </c>
      <c r="F915" s="1">
        <v>2250</v>
      </c>
      <c r="G915" s="1">
        <v>348520</v>
      </c>
    </row>
    <row r="916" spans="1:7" x14ac:dyDescent="0.25">
      <c r="A916" s="1" t="s">
        <v>1131</v>
      </c>
      <c r="B916" s="2" t="str">
        <f>HYPERLINK("https://www.elsevier.com/locate/issn/1388-2481", "Electrochemistry Communications")</f>
        <v>Electrochemistry Communications</v>
      </c>
      <c r="C916" s="1" t="s">
        <v>23</v>
      </c>
      <c r="D916" s="1">
        <v>2630</v>
      </c>
      <c r="E916" s="1">
        <v>2460</v>
      </c>
      <c r="F916" s="1">
        <v>2110</v>
      </c>
      <c r="G916" s="1">
        <v>326200</v>
      </c>
    </row>
    <row r="917" spans="1:7" x14ac:dyDescent="0.25">
      <c r="A917" s="1" t="s">
        <v>1132</v>
      </c>
      <c r="B917" s="2" t="str">
        <f>HYPERLINK("https://www.elsevier.com/locate/issn/0013-4686", "Electrochimica Acta")</f>
        <v>Electrochimica Acta</v>
      </c>
      <c r="C917" s="1" t="s">
        <v>10</v>
      </c>
      <c r="D917" s="1">
        <v>3790</v>
      </c>
      <c r="E917" s="1">
        <v>3550</v>
      </c>
      <c r="F917" s="1">
        <v>3030</v>
      </c>
      <c r="G917" s="1">
        <v>470070</v>
      </c>
    </row>
    <row r="918" spans="1:7" x14ac:dyDescent="0.25">
      <c r="A918" s="1" t="s">
        <v>1133</v>
      </c>
      <c r="B918" s="2" t="str">
        <f>HYPERLINK("https://www.elsevier.com/locate/issn/1567-4223", "Electronic Commerce Research and Applications")</f>
        <v>Electronic Commerce Research and Applications</v>
      </c>
      <c r="C918" s="1" t="s">
        <v>10</v>
      </c>
      <c r="D918" s="1">
        <v>3210</v>
      </c>
      <c r="E918" s="1">
        <v>3000</v>
      </c>
      <c r="F918" s="1">
        <v>2570</v>
      </c>
      <c r="G918" s="1">
        <v>398140</v>
      </c>
    </row>
    <row r="919" spans="1:7" x14ac:dyDescent="0.25">
      <c r="A919" s="1" t="s">
        <v>1134</v>
      </c>
      <c r="B919" s="2" t="str">
        <f>HYPERLINK("https://www.elsevier.com/locate/issn/0717-3458", "Electronic Journal of Biotechnology")</f>
        <v>Electronic Journal of Biotechnology</v>
      </c>
      <c r="C919" s="1" t="s">
        <v>23</v>
      </c>
      <c r="D919" s="1">
        <v>2300</v>
      </c>
      <c r="E919" s="1">
        <v>2150</v>
      </c>
      <c r="F919" s="1">
        <v>1840</v>
      </c>
      <c r="G919" s="1">
        <v>285270</v>
      </c>
    </row>
    <row r="920" spans="1:7" x14ac:dyDescent="0.25">
      <c r="A920" s="1" t="s">
        <v>1135</v>
      </c>
      <c r="B920" s="2" t="str">
        <f>HYPERLINK("https://www.elsevier.com/locate/issn/2772-8137", "Emerging Animal Species")</f>
        <v>Emerging Animal Species</v>
      </c>
      <c r="C920" s="1" t="s">
        <v>23</v>
      </c>
      <c r="D920" s="1">
        <v>2020</v>
      </c>
      <c r="E920" s="1">
        <v>1890</v>
      </c>
      <c r="F920" s="1">
        <v>1620</v>
      </c>
      <c r="G920" s="1">
        <v>250540</v>
      </c>
    </row>
    <row r="921" spans="1:7" x14ac:dyDescent="0.25">
      <c r="A921" s="1" t="s">
        <v>1136</v>
      </c>
      <c r="B921" s="2" t="str">
        <f>HYPERLINK("https://www.elsevier.com/locate/issn/2405-6650", "Emerging Contaminants")</f>
        <v>Emerging Contaminants</v>
      </c>
      <c r="C921" s="1" t="s">
        <v>34</v>
      </c>
      <c r="D921" s="1">
        <v>1100</v>
      </c>
      <c r="E921" s="1">
        <v>1030</v>
      </c>
      <c r="F921" s="1">
        <v>880</v>
      </c>
      <c r="G921" s="1">
        <v>136430</v>
      </c>
    </row>
    <row r="922" spans="1:7" x14ac:dyDescent="0.25">
      <c r="A922" s="1" t="s">
        <v>1137</v>
      </c>
      <c r="B922" s="2" t="str">
        <f>HYPERLINK("https://www.elsevier.com/locate/issn/1566-0141", "Emerging Markets Review")</f>
        <v>Emerging Markets Review</v>
      </c>
      <c r="C922" s="1" t="s">
        <v>10</v>
      </c>
      <c r="D922" s="1">
        <v>3060</v>
      </c>
      <c r="E922" s="1">
        <v>2860</v>
      </c>
      <c r="F922" s="1">
        <v>2450</v>
      </c>
      <c r="G922" s="1">
        <v>379530</v>
      </c>
    </row>
    <row r="923" spans="1:7" x14ac:dyDescent="0.25">
      <c r="A923" s="1" t="s">
        <v>1138</v>
      </c>
      <c r="B923" s="2" t="str">
        <f>HYPERLINK("https://www.elsevier.com/locate/issn/0160-9327", "Endeavour")</f>
        <v>Endeavour</v>
      </c>
      <c r="C923" s="1" t="s">
        <v>10</v>
      </c>
      <c r="D923" s="1">
        <v>3270</v>
      </c>
      <c r="E923" s="1">
        <v>3060</v>
      </c>
      <c r="F923" s="1">
        <v>2620</v>
      </c>
      <c r="G923" s="1">
        <v>405580</v>
      </c>
    </row>
    <row r="924" spans="1:7" x14ac:dyDescent="0.25">
      <c r="A924" s="1" t="s">
        <v>1139</v>
      </c>
      <c r="B924" s="2" t="str">
        <f>HYPERLINK("https://www.elsevier.com/locate/issn/2666-3961", "Endocrine and Metabolic Science")</f>
        <v>Endocrine and Metabolic Science</v>
      </c>
      <c r="C924" s="1" t="s">
        <v>23</v>
      </c>
      <c r="D924" s="1">
        <v>2910</v>
      </c>
      <c r="E924" s="1">
        <v>2720</v>
      </c>
      <c r="F924" s="1">
        <v>2330</v>
      </c>
      <c r="G924" s="1">
        <v>360930</v>
      </c>
    </row>
    <row r="925" spans="1:7" x14ac:dyDescent="0.25">
      <c r="A925" s="1" t="s">
        <v>1140</v>
      </c>
      <c r="B925" s="2" t="str">
        <f>HYPERLINK("https://www.elsevier.com/locate/issn/1530-891X", "Endocrine Practice")</f>
        <v>Endocrine Practice</v>
      </c>
      <c r="C925" s="1" t="s">
        <v>10</v>
      </c>
      <c r="D925" s="1">
        <v>3480</v>
      </c>
      <c r="E925" s="1">
        <v>3260</v>
      </c>
      <c r="F925" s="1">
        <v>2790</v>
      </c>
      <c r="G925" s="1">
        <v>431620</v>
      </c>
    </row>
    <row r="926" spans="1:7" x14ac:dyDescent="0.25">
      <c r="A926" s="1" t="s">
        <v>1141</v>
      </c>
      <c r="B926" s="2" t="str">
        <f>HYPERLINK("https://www.elsevier.com/locate/issn/2666-6472", "Energetic Materials Frontiers")</f>
        <v>Energetic Materials Frontiers</v>
      </c>
      <c r="C926" s="1" t="s">
        <v>34</v>
      </c>
      <c r="D926" s="1" t="s">
        <v>324</v>
      </c>
      <c r="E926" s="1" t="s">
        <v>324</v>
      </c>
      <c r="F926" s="1" t="s">
        <v>324</v>
      </c>
      <c r="G926" s="1" t="s">
        <v>324</v>
      </c>
    </row>
    <row r="927" spans="1:7" x14ac:dyDescent="0.25">
      <c r="A927" s="1" t="s">
        <v>1142</v>
      </c>
      <c r="B927" s="2" t="str">
        <f>HYPERLINK("https://www.elsevier.com/locate/issn/0360-5442", "Energy")</f>
        <v>Energy</v>
      </c>
      <c r="C927" s="1" t="s">
        <v>10</v>
      </c>
      <c r="D927" s="1">
        <v>4260</v>
      </c>
      <c r="E927" s="1">
        <v>3990</v>
      </c>
      <c r="F927" s="1">
        <v>3410</v>
      </c>
      <c r="G927" s="1">
        <v>528370</v>
      </c>
    </row>
    <row r="928" spans="1:7" x14ac:dyDescent="0.25">
      <c r="A928" s="1" t="s">
        <v>1143</v>
      </c>
      <c r="B928" s="2" t="str">
        <f>HYPERLINK("https://www.elsevier.com/locate/issn/3050-7456", "Energy &amp; Environmental Sustainability")</f>
        <v>Energy &amp; Environmental Sustainability</v>
      </c>
      <c r="C928" s="1" t="s">
        <v>23</v>
      </c>
      <c r="D928" s="1">
        <v>2400</v>
      </c>
      <c r="E928" s="1">
        <v>2250</v>
      </c>
      <c r="F928" s="1">
        <v>1920</v>
      </c>
      <c r="G928" s="1">
        <v>297670</v>
      </c>
    </row>
    <row r="929" spans="1:7" x14ac:dyDescent="0.25">
      <c r="A929" s="1" t="s">
        <v>1144</v>
      </c>
      <c r="B929" s="2" t="str">
        <f>HYPERLINK("https://www.elsevier.com/locate/issn/2950-4872", "Energy 360")</f>
        <v>Energy 360</v>
      </c>
      <c r="C929" s="1" t="s">
        <v>10</v>
      </c>
      <c r="D929" s="1">
        <v>1700</v>
      </c>
      <c r="E929" s="1">
        <v>1590</v>
      </c>
      <c r="F929" s="1">
        <v>1360</v>
      </c>
      <c r="G929" s="1">
        <v>210850</v>
      </c>
    </row>
    <row r="930" spans="1:7" x14ac:dyDescent="0.25">
      <c r="A930" s="1" t="s">
        <v>1145</v>
      </c>
      <c r="B930" s="2" t="str">
        <f>HYPERLINK("https://www.elsevier.com/locate/issn/2666-5468", "Energy and AI")</f>
        <v>Energy and AI</v>
      </c>
      <c r="C930" s="1" t="s">
        <v>23</v>
      </c>
      <c r="D930" s="1">
        <v>3630</v>
      </c>
      <c r="E930" s="1">
        <v>3400</v>
      </c>
      <c r="F930" s="1">
        <v>2910</v>
      </c>
      <c r="G930" s="1">
        <v>450230</v>
      </c>
    </row>
    <row r="931" spans="1:7" x14ac:dyDescent="0.25">
      <c r="A931" s="1" t="s">
        <v>1146</v>
      </c>
      <c r="B931" s="2" t="str">
        <f>HYPERLINK("https://www.elsevier.com/locate/issn/0378-7788", "Energy and Buildings")</f>
        <v>Energy and Buildings</v>
      </c>
      <c r="C931" s="1" t="s">
        <v>10</v>
      </c>
      <c r="D931" s="1">
        <v>4260</v>
      </c>
      <c r="E931" s="1">
        <v>3990</v>
      </c>
      <c r="F931" s="1">
        <v>3410</v>
      </c>
      <c r="G931" s="1">
        <v>528370</v>
      </c>
    </row>
    <row r="932" spans="1:7" x14ac:dyDescent="0.25">
      <c r="A932" s="1" t="s">
        <v>1147</v>
      </c>
      <c r="B932" s="2" t="str">
        <f>HYPERLINK("https://www.elsevier.com/locate/issn/2666-1233", "Energy and Built Environment")</f>
        <v>Energy and Built Environment</v>
      </c>
      <c r="C932" s="1" t="s">
        <v>34</v>
      </c>
      <c r="D932" s="1" t="s">
        <v>324</v>
      </c>
      <c r="E932" s="1" t="s">
        <v>324</v>
      </c>
      <c r="F932" s="1" t="s">
        <v>324</v>
      </c>
      <c r="G932" s="1" t="s">
        <v>324</v>
      </c>
    </row>
    <row r="933" spans="1:7" x14ac:dyDescent="0.25">
      <c r="A933" s="1" t="s">
        <v>1148</v>
      </c>
      <c r="B933" s="2" t="str">
        <f>HYPERLINK("https://www.elsevier.com/locate/issn/2666-2787", "Energy and Climate Change")</f>
        <v>Energy and Climate Change</v>
      </c>
      <c r="C933" s="1" t="s">
        <v>10</v>
      </c>
      <c r="D933" s="1">
        <v>3570</v>
      </c>
      <c r="E933" s="1">
        <v>3340</v>
      </c>
      <c r="F933" s="1">
        <v>2860</v>
      </c>
      <c r="G933" s="1">
        <v>442790</v>
      </c>
    </row>
    <row r="934" spans="1:7" x14ac:dyDescent="0.25">
      <c r="A934" s="1" t="s">
        <v>1149</v>
      </c>
      <c r="B934" s="2" t="str">
        <f>HYPERLINK("https://www.elsevier.com/locate/issn/0196-8904", "Energy Conversion and Management")</f>
        <v>Energy Conversion and Management</v>
      </c>
      <c r="C934" s="1" t="s">
        <v>10</v>
      </c>
      <c r="D934" s="1">
        <v>4600</v>
      </c>
      <c r="E934" s="1">
        <v>4300</v>
      </c>
      <c r="F934" s="1">
        <v>3680</v>
      </c>
      <c r="G934" s="1">
        <v>570540</v>
      </c>
    </row>
    <row r="935" spans="1:7" x14ac:dyDescent="0.25">
      <c r="A935" s="1" t="s">
        <v>1150</v>
      </c>
      <c r="B935" s="2" t="str">
        <f>HYPERLINK("https://www.elsevier.com/locate/issn/2590-1745", "Energy Conversion and Management: X")</f>
        <v>Energy Conversion and Management: X</v>
      </c>
      <c r="C935" s="1" t="s">
        <v>23</v>
      </c>
      <c r="D935" s="1">
        <v>3050</v>
      </c>
      <c r="E935" s="1">
        <v>2850</v>
      </c>
      <c r="F935" s="1">
        <v>2440</v>
      </c>
      <c r="G935" s="1">
        <v>378290</v>
      </c>
    </row>
    <row r="936" spans="1:7" x14ac:dyDescent="0.25">
      <c r="A936" s="1" t="s">
        <v>1151</v>
      </c>
      <c r="B936" s="2" t="str">
        <f>HYPERLINK("https://www.elsevier.com/locate/issn/0140-9883", "Energy Economics")</f>
        <v>Energy Economics</v>
      </c>
      <c r="C936" s="1" t="s">
        <v>10</v>
      </c>
      <c r="D936" s="1">
        <v>4280</v>
      </c>
      <c r="E936" s="1">
        <v>4000</v>
      </c>
      <c r="F936" s="1">
        <v>3430</v>
      </c>
      <c r="G936" s="1">
        <v>530850</v>
      </c>
    </row>
    <row r="937" spans="1:7" x14ac:dyDescent="0.25">
      <c r="A937" s="1" t="s">
        <v>1152</v>
      </c>
      <c r="B937" s="2" t="str">
        <f>HYPERLINK("https://www.elsevier.com/locate/issn/2950-1563", "Energy Efficiency First")</f>
        <v>Energy Efficiency First</v>
      </c>
      <c r="C937" s="1" t="s">
        <v>23</v>
      </c>
      <c r="D937" s="1">
        <v>2050</v>
      </c>
      <c r="E937" s="1">
        <v>1920</v>
      </c>
      <c r="F937" s="1">
        <v>1640</v>
      </c>
      <c r="G937" s="1">
        <v>254260</v>
      </c>
    </row>
    <row r="938" spans="1:7" x14ac:dyDescent="0.25">
      <c r="A938" s="1" t="s">
        <v>1153</v>
      </c>
      <c r="B938" s="2" t="str">
        <f>HYPERLINK("https://www.elsevier.com/locate/issn/0973-0826", "Energy for Sustainable Development")</f>
        <v>Energy for Sustainable Development</v>
      </c>
      <c r="C938" s="1" t="s">
        <v>10</v>
      </c>
      <c r="D938" s="1">
        <v>2750</v>
      </c>
      <c r="E938" s="1">
        <v>2570</v>
      </c>
      <c r="F938" s="1">
        <v>2200</v>
      </c>
      <c r="G938" s="1">
        <v>341080</v>
      </c>
    </row>
    <row r="939" spans="1:7" x14ac:dyDescent="0.25">
      <c r="A939" s="1" t="s">
        <v>1154</v>
      </c>
      <c r="B939" s="2" t="str">
        <f>HYPERLINK("https://www.elsevier.com/locate/issn/2666-7592", "Energy Geoscience")</f>
        <v>Energy Geoscience</v>
      </c>
      <c r="C939" s="1" t="s">
        <v>34</v>
      </c>
      <c r="D939" s="1" t="s">
        <v>324</v>
      </c>
      <c r="E939" s="1" t="s">
        <v>324</v>
      </c>
      <c r="F939" s="1" t="s">
        <v>324</v>
      </c>
      <c r="G939" s="1" t="s">
        <v>324</v>
      </c>
    </row>
    <row r="940" spans="1:7" x14ac:dyDescent="0.25">
      <c r="A940" s="1" t="s">
        <v>1155</v>
      </c>
      <c r="B940" s="2" t="str">
        <f>HYPERLINK("https://www.elsevier.com/locate/issn/2772-4271", "Energy Nexus")</f>
        <v>Energy Nexus</v>
      </c>
      <c r="C940" s="1" t="s">
        <v>23</v>
      </c>
      <c r="D940" s="1">
        <v>2200</v>
      </c>
      <c r="E940" s="1">
        <v>2060</v>
      </c>
      <c r="F940" s="1">
        <v>1760</v>
      </c>
      <c r="G940" s="1">
        <v>272870</v>
      </c>
    </row>
    <row r="941" spans="1:7" x14ac:dyDescent="0.25">
      <c r="A941" s="1" t="s">
        <v>1156</v>
      </c>
      <c r="B941" s="2" t="str">
        <f>HYPERLINK("https://www.elsevier.com/locate/issn/0301-4215", "Energy Policy")</f>
        <v>Energy Policy</v>
      </c>
      <c r="C941" s="1" t="s">
        <v>10</v>
      </c>
      <c r="D941" s="1">
        <v>3940</v>
      </c>
      <c r="E941" s="1">
        <v>3690</v>
      </c>
      <c r="F941" s="1">
        <v>3150</v>
      </c>
      <c r="G941" s="1">
        <v>488680</v>
      </c>
    </row>
    <row r="942" spans="1:7" x14ac:dyDescent="0.25">
      <c r="A942" s="1" t="s">
        <v>1157</v>
      </c>
      <c r="B942" s="2" t="str">
        <f>HYPERLINK("https://www.elsevier.com/locate/issn/2352-4847", "Energy Reports")</f>
        <v>Energy Reports</v>
      </c>
      <c r="C942" s="1" t="s">
        <v>23</v>
      </c>
      <c r="D942" s="1">
        <v>2920</v>
      </c>
      <c r="E942" s="1">
        <v>2730</v>
      </c>
      <c r="F942" s="1">
        <v>2340</v>
      </c>
      <c r="G942" s="1">
        <v>362170</v>
      </c>
    </row>
    <row r="943" spans="1:7" x14ac:dyDescent="0.25">
      <c r="A943" s="1" t="s">
        <v>1158</v>
      </c>
      <c r="B943" s="2" t="str">
        <f>HYPERLINK("https://www.elsevier.com/locate/issn/2214-6296", "Energy Research &amp; Social Science")</f>
        <v>Energy Research &amp; Social Science</v>
      </c>
      <c r="C943" s="1" t="s">
        <v>10</v>
      </c>
      <c r="D943" s="1">
        <v>3450</v>
      </c>
      <c r="E943" s="1">
        <v>3230</v>
      </c>
      <c r="F943" s="1">
        <v>2760</v>
      </c>
      <c r="G943" s="1">
        <v>427900</v>
      </c>
    </row>
    <row r="944" spans="1:7" x14ac:dyDescent="0.25">
      <c r="A944" s="1" t="s">
        <v>1159</v>
      </c>
      <c r="B944" s="2" t="str">
        <f>HYPERLINK("https://www.elsevier.com/locate/issn/2772-9702", "Energy Reviews")</f>
        <v>Energy Reviews</v>
      </c>
      <c r="C944" s="1" t="s">
        <v>23</v>
      </c>
      <c r="D944" s="1">
        <v>2500</v>
      </c>
      <c r="E944" s="1">
        <v>2340</v>
      </c>
      <c r="F944" s="1">
        <v>2000</v>
      </c>
      <c r="G944" s="1">
        <v>310080</v>
      </c>
    </row>
    <row r="945" spans="1:7" x14ac:dyDescent="0.25">
      <c r="A945" s="1" t="s">
        <v>1160</v>
      </c>
      <c r="B945" s="2" t="str">
        <f>HYPERLINK("https://www.elsevier.com/locate/issn/2405-8297", "Energy Storage Materials")</f>
        <v>Energy Storage Materials</v>
      </c>
      <c r="C945" s="1" t="s">
        <v>10</v>
      </c>
      <c r="D945" s="1">
        <v>5400</v>
      </c>
      <c r="E945" s="1">
        <v>4930</v>
      </c>
      <c r="F945" s="1">
        <v>4320</v>
      </c>
      <c r="G945" s="1">
        <v>669760</v>
      </c>
    </row>
    <row r="946" spans="1:7" x14ac:dyDescent="0.25">
      <c r="A946" s="1" t="s">
        <v>1161</v>
      </c>
      <c r="B946" s="2" t="str">
        <f>HYPERLINK("https://www.elsevier.com/locate/issn/2211-467X", "Energy Strategy Reviews")</f>
        <v>Energy Strategy Reviews</v>
      </c>
      <c r="C946" s="1" t="s">
        <v>23</v>
      </c>
      <c r="D946" s="1">
        <v>3910</v>
      </c>
      <c r="E946" s="1">
        <v>3660</v>
      </c>
      <c r="F946" s="1">
        <v>3130</v>
      </c>
      <c r="G946" s="1">
        <v>484960</v>
      </c>
    </row>
    <row r="947" spans="1:7" x14ac:dyDescent="0.25">
      <c r="A947" s="1" t="s">
        <v>1162</v>
      </c>
      <c r="B947" s="2" t="str">
        <f>HYPERLINK("https://www.elsevier.com/locate/issn/2589-7780", "EnergyChem")</f>
        <v>EnergyChem</v>
      </c>
      <c r="C947" s="1" t="s">
        <v>10</v>
      </c>
      <c r="D947" s="1">
        <v>3550</v>
      </c>
      <c r="E947" s="1">
        <v>3320</v>
      </c>
      <c r="F947" s="1">
        <v>2840</v>
      </c>
      <c r="G947" s="1">
        <v>440310</v>
      </c>
    </row>
    <row r="948" spans="1:7" x14ac:dyDescent="0.25">
      <c r="A948" s="1" t="s">
        <v>1163</v>
      </c>
      <c r="B948" s="2" t="str">
        <f>HYPERLINK("https://www.elsevier.com/locate/issn/2405-6502", "eNeurologicalSci")</f>
        <v>eNeurologicalSci</v>
      </c>
      <c r="C948" s="1" t="s">
        <v>23</v>
      </c>
      <c r="D948" s="1">
        <v>3260</v>
      </c>
      <c r="E948" s="1">
        <v>2970</v>
      </c>
      <c r="F948" s="1">
        <v>2610</v>
      </c>
      <c r="G948" s="1">
        <v>404340</v>
      </c>
    </row>
    <row r="949" spans="1:7" x14ac:dyDescent="0.25">
      <c r="A949" s="1" t="s">
        <v>1164</v>
      </c>
      <c r="B949" s="2" t="str">
        <f>HYPERLINK("https://www.elsevier.com/locate/issn/0213-005X", "Enfermedades Infecciosas y Microbiología Clínica")</f>
        <v>Enfermedades Infecciosas y Microbiología Clínica</v>
      </c>
      <c r="C949" s="1" t="s">
        <v>10</v>
      </c>
      <c r="D949" s="1">
        <v>2280</v>
      </c>
      <c r="E949" s="1">
        <v>2130</v>
      </c>
      <c r="F949" s="1">
        <v>1830</v>
      </c>
      <c r="G949" s="1">
        <v>282790</v>
      </c>
    </row>
    <row r="950" spans="1:7" x14ac:dyDescent="0.25">
      <c r="A950" s="1" t="s">
        <v>1165</v>
      </c>
      <c r="B950" s="2" t="str">
        <f>HYPERLINK("https://www.elsevier.com/locate/issn/2529-993X", "Enfermedades infecciosas y microbiologia clinica (English ed.)")</f>
        <v>Enfermedades infecciosas y microbiologia clinica (English ed.)</v>
      </c>
      <c r="C950" s="1" t="s">
        <v>10</v>
      </c>
      <c r="D950" s="1">
        <v>2280</v>
      </c>
      <c r="E950" s="1">
        <v>2130</v>
      </c>
      <c r="F950" s="1">
        <v>1830</v>
      </c>
      <c r="G950" s="1">
        <v>282790</v>
      </c>
    </row>
    <row r="951" spans="1:7" x14ac:dyDescent="0.25">
      <c r="A951" s="1" t="s">
        <v>1166</v>
      </c>
      <c r="B951" s="2" t="str">
        <f>HYPERLINK("https://www.elsevier.com/locate/issn/1130-8621", "Enfermería Clínica")</f>
        <v>Enfermería Clínica</v>
      </c>
      <c r="C951" s="1" t="s">
        <v>10</v>
      </c>
      <c r="D951" s="1">
        <v>2810</v>
      </c>
      <c r="E951" s="1">
        <v>2560</v>
      </c>
      <c r="F951" s="1">
        <v>2250</v>
      </c>
      <c r="G951" s="1">
        <v>348520</v>
      </c>
    </row>
    <row r="952" spans="1:7" x14ac:dyDescent="0.25">
      <c r="A952" s="1" t="s">
        <v>1167</v>
      </c>
      <c r="B952" s="2" t="str">
        <f>HYPERLINK("https://www.elsevier.com/locate/issn/2445-1479", "Enfermería Clínica (English Edition)")</f>
        <v>Enfermería Clínica (English Edition)</v>
      </c>
      <c r="C952" s="1" t="s">
        <v>10</v>
      </c>
      <c r="D952" s="1">
        <v>2810</v>
      </c>
      <c r="E952" s="1">
        <v>2630</v>
      </c>
      <c r="F952" s="1">
        <v>2250</v>
      </c>
      <c r="G952" s="1">
        <v>348520</v>
      </c>
    </row>
    <row r="953" spans="1:7" x14ac:dyDescent="0.25">
      <c r="A953" s="1" t="s">
        <v>1168</v>
      </c>
      <c r="B953" s="2" t="str">
        <f>HYPERLINK("https://www.elsevier.com/locate/issn/1130-2399", "Enfermería Intensiva")</f>
        <v>Enfermería Intensiva</v>
      </c>
      <c r="C953" s="1" t="s">
        <v>10</v>
      </c>
      <c r="D953" s="1">
        <v>2190</v>
      </c>
      <c r="E953" s="1">
        <v>2050</v>
      </c>
      <c r="F953" s="1">
        <v>1750</v>
      </c>
      <c r="G953" s="1">
        <v>271630</v>
      </c>
    </row>
    <row r="954" spans="1:7" x14ac:dyDescent="0.25">
      <c r="A954" s="1" t="s">
        <v>1169</v>
      </c>
      <c r="B954" s="2" t="str">
        <f>HYPERLINK("https://www.elsevier.com/locate/issn/2529-9840", "Enfermería Intensiva (English ed.)")</f>
        <v>Enfermería Intensiva (English ed.)</v>
      </c>
      <c r="C954" s="1" t="s">
        <v>10</v>
      </c>
      <c r="D954" s="1">
        <v>2190</v>
      </c>
      <c r="E954" s="1">
        <v>2050</v>
      </c>
      <c r="F954" s="1">
        <v>1750</v>
      </c>
      <c r="G954" s="1">
        <v>271630</v>
      </c>
    </row>
    <row r="955" spans="1:7" x14ac:dyDescent="0.25">
      <c r="A955" s="1" t="s">
        <v>1170</v>
      </c>
      <c r="B955" s="2" t="str">
        <f>HYPERLINK("https://www.elsevier.com/locate/issn/2666-1381", "Engineered Regeneration")</f>
        <v>Engineered Regeneration</v>
      </c>
      <c r="C955" s="1" t="s">
        <v>34</v>
      </c>
      <c r="D955" s="1">
        <v>700</v>
      </c>
      <c r="E955" s="1">
        <v>650</v>
      </c>
      <c r="F955" s="1">
        <v>560</v>
      </c>
      <c r="G955" s="1">
        <v>86820</v>
      </c>
    </row>
    <row r="956" spans="1:7" x14ac:dyDescent="0.25">
      <c r="A956" s="1" t="s">
        <v>1171</v>
      </c>
      <c r="B956" s="2" t="str">
        <f>HYPERLINK("https://www.elsevier.com/locate/issn/2095-8099", "Engineering")</f>
        <v>Engineering</v>
      </c>
      <c r="C956" s="1" t="s">
        <v>23</v>
      </c>
      <c r="D956" s="1">
        <v>1300</v>
      </c>
      <c r="E956" s="1">
        <v>1220</v>
      </c>
      <c r="F956" s="1">
        <v>1040</v>
      </c>
      <c r="G956" s="1">
        <v>161240</v>
      </c>
    </row>
    <row r="957" spans="1:7" x14ac:dyDescent="0.25">
      <c r="A957" s="1" t="s">
        <v>1172</v>
      </c>
      <c r="B957" s="2" t="str">
        <f>HYPERLINK("https://www.elsevier.com/locate/issn/0955-7997", "Engineering Analysis with Boundary Elements")</f>
        <v>Engineering Analysis with Boundary Elements</v>
      </c>
      <c r="C957" s="1" t="s">
        <v>10</v>
      </c>
      <c r="D957" s="1">
        <v>3590</v>
      </c>
      <c r="E957" s="1">
        <v>3360</v>
      </c>
      <c r="F957" s="1">
        <v>2870</v>
      </c>
      <c r="G957" s="1">
        <v>445270</v>
      </c>
    </row>
    <row r="958" spans="1:7" x14ac:dyDescent="0.25">
      <c r="A958" s="1" t="s">
        <v>1173</v>
      </c>
      <c r="B958" s="2" t="str">
        <f>HYPERLINK("https://www.elsevier.com/locate/issn/0952-1976", "Engineering Applications of Artificial Intelligence")</f>
        <v>Engineering Applications of Artificial Intelligence</v>
      </c>
      <c r="C958" s="1" t="s">
        <v>10</v>
      </c>
      <c r="D958" s="1">
        <v>3200</v>
      </c>
      <c r="E958" s="1">
        <v>2990</v>
      </c>
      <c r="F958" s="1">
        <v>2560</v>
      </c>
      <c r="G958" s="1">
        <v>396900</v>
      </c>
    </row>
    <row r="959" spans="1:7" x14ac:dyDescent="0.25">
      <c r="A959" s="1" t="s">
        <v>1174</v>
      </c>
      <c r="B959" s="2" t="str">
        <f>HYPERLINK("https://www.elsevier.com/locate/issn/1350-6307", "Engineering Failure Analysis")</f>
        <v>Engineering Failure Analysis</v>
      </c>
      <c r="C959" s="1" t="s">
        <v>10</v>
      </c>
      <c r="D959" s="1">
        <v>3820</v>
      </c>
      <c r="E959" s="1">
        <v>3570</v>
      </c>
      <c r="F959" s="1">
        <v>3060</v>
      </c>
      <c r="G959" s="1">
        <v>473790</v>
      </c>
    </row>
    <row r="960" spans="1:7" x14ac:dyDescent="0.25">
      <c r="A960" s="1" t="s">
        <v>1175</v>
      </c>
      <c r="B960" s="2" t="str">
        <f>HYPERLINK("https://www.elsevier.com/locate/issn/0013-7944", "Engineering Fracture Mechanics")</f>
        <v>Engineering Fracture Mechanics</v>
      </c>
      <c r="C960" s="1" t="s">
        <v>10</v>
      </c>
      <c r="D960" s="1">
        <v>4120</v>
      </c>
      <c r="E960" s="1">
        <v>3850</v>
      </c>
      <c r="F960" s="1">
        <v>3300</v>
      </c>
      <c r="G960" s="1">
        <v>511000</v>
      </c>
    </row>
    <row r="961" spans="1:7" x14ac:dyDescent="0.25">
      <c r="A961" s="1" t="s">
        <v>1176</v>
      </c>
      <c r="B961" s="2" t="str">
        <f>HYPERLINK("https://www.elsevier.com/locate/issn/0013-7952", "Engineering Geology")</f>
        <v>Engineering Geology</v>
      </c>
      <c r="C961" s="1" t="s">
        <v>10</v>
      </c>
      <c r="D961" s="1">
        <v>4210</v>
      </c>
      <c r="E961" s="1">
        <v>3940</v>
      </c>
      <c r="F961" s="1">
        <v>3370</v>
      </c>
      <c r="G961" s="1">
        <v>522170</v>
      </c>
    </row>
    <row r="962" spans="1:7" x14ac:dyDescent="0.25">
      <c r="A962" s="1" t="s">
        <v>1177</v>
      </c>
      <c r="B962" s="2" t="str">
        <f>HYPERLINK("https://www.elsevier.com/locate/issn/2667-3703", "Engineering Microbiology")</f>
        <v>Engineering Microbiology</v>
      </c>
      <c r="C962" s="1" t="s">
        <v>23</v>
      </c>
      <c r="D962" s="1">
        <v>1960</v>
      </c>
      <c r="E962" s="1">
        <v>1830</v>
      </c>
      <c r="F962" s="1">
        <v>1570</v>
      </c>
      <c r="G962" s="1">
        <v>243100</v>
      </c>
    </row>
    <row r="963" spans="1:7" x14ac:dyDescent="0.25">
      <c r="A963" s="1" t="s">
        <v>1178</v>
      </c>
      <c r="B963" s="2" t="str">
        <f>HYPERLINK("https://www.elsevier.com/locate/issn/0141-0296", "Engineering Structures")</f>
        <v>Engineering Structures</v>
      </c>
      <c r="C963" s="1" t="s">
        <v>10</v>
      </c>
      <c r="D963" s="1">
        <v>4620</v>
      </c>
      <c r="E963" s="1">
        <v>4320</v>
      </c>
      <c r="F963" s="1">
        <v>3700</v>
      </c>
      <c r="G963" s="1">
        <v>573020</v>
      </c>
    </row>
    <row r="964" spans="1:7" x14ac:dyDescent="0.25">
      <c r="A964" s="1" t="s">
        <v>1179</v>
      </c>
      <c r="B964" s="2" t="str">
        <f>HYPERLINK("https://www.elsevier.com/locate/issn/0889-4906", "English for Specific Purposes")</f>
        <v>English for Specific Purposes</v>
      </c>
      <c r="C964" s="1" t="s">
        <v>10</v>
      </c>
      <c r="D964" s="1">
        <v>3590</v>
      </c>
      <c r="E964" s="1">
        <v>3360</v>
      </c>
      <c r="F964" s="1">
        <v>2870</v>
      </c>
      <c r="G964" s="1">
        <v>445270</v>
      </c>
    </row>
    <row r="965" spans="1:7" x14ac:dyDescent="0.25">
      <c r="A965" s="1" t="s">
        <v>1180</v>
      </c>
      <c r="B965" s="2" t="str">
        <f>HYPERLINK("https://www.elsevier.com/locate/issn/2950-4899", "EngMedicine")</f>
        <v>EngMedicine</v>
      </c>
      <c r="C965" s="1" t="s">
        <v>23</v>
      </c>
      <c r="D965" s="1">
        <v>2300</v>
      </c>
      <c r="E965" s="1">
        <v>2150</v>
      </c>
      <c r="F965" s="1">
        <v>1840</v>
      </c>
      <c r="G965" s="1">
        <v>285270</v>
      </c>
    </row>
    <row r="966" spans="1:7" x14ac:dyDescent="0.25">
      <c r="A966" s="1" t="s">
        <v>1181</v>
      </c>
      <c r="B966" s="2" t="str">
        <f>HYPERLINK("https://www.elsevier.com/locate/issn/1875-9521", "Entertainment Computing")</f>
        <v>Entertainment Computing</v>
      </c>
      <c r="C966" s="1" t="s">
        <v>10</v>
      </c>
      <c r="D966" s="1">
        <v>2840</v>
      </c>
      <c r="E966" s="1">
        <v>2660</v>
      </c>
      <c r="F966" s="1">
        <v>2270</v>
      </c>
      <c r="G966" s="1">
        <v>352250</v>
      </c>
    </row>
    <row r="967" spans="1:7" x14ac:dyDescent="0.25">
      <c r="A967" s="1" t="s">
        <v>1182</v>
      </c>
      <c r="B967" s="2" t="str">
        <f>HYPERLINK("https://www.elsevier.com/locate/issn/0160-4120", "Environment International")</f>
        <v>Environment International</v>
      </c>
      <c r="C967" s="1" t="s">
        <v>23</v>
      </c>
      <c r="D967" s="1">
        <v>4610</v>
      </c>
      <c r="E967" s="1">
        <v>4310</v>
      </c>
      <c r="F967" s="1">
        <v>3690</v>
      </c>
      <c r="G967" s="1">
        <v>571780</v>
      </c>
    </row>
    <row r="968" spans="1:7" x14ac:dyDescent="0.25">
      <c r="A968" s="1" t="s">
        <v>1183</v>
      </c>
      <c r="B968" s="2" t="str">
        <f>HYPERLINK("https://www.elsevier.com/locate/issn/2666-7657", "Environmental Advances")</f>
        <v>Environmental Advances</v>
      </c>
      <c r="C968" s="1" t="s">
        <v>23</v>
      </c>
      <c r="D968" s="1">
        <v>1920</v>
      </c>
      <c r="E968" s="1">
        <v>1800</v>
      </c>
      <c r="F968" s="1">
        <v>1540</v>
      </c>
      <c r="G968" s="1">
        <v>238140</v>
      </c>
    </row>
    <row r="969" spans="1:7" x14ac:dyDescent="0.25">
      <c r="A969" s="1" t="s">
        <v>1184</v>
      </c>
      <c r="B969" s="2" t="str">
        <f>HYPERLINK("https://www.elsevier.com/locate/issn/0098-8472", "Environmental and Experimental Botany")</f>
        <v>Environmental and Experimental Botany</v>
      </c>
      <c r="C969" s="1" t="s">
        <v>23</v>
      </c>
      <c r="D969" s="1">
        <v>3000</v>
      </c>
      <c r="E969" s="1">
        <v>2810</v>
      </c>
      <c r="F969" s="1">
        <v>2400</v>
      </c>
      <c r="G969" s="1">
        <v>372090</v>
      </c>
    </row>
    <row r="970" spans="1:7" x14ac:dyDescent="0.25">
      <c r="A970" s="1" t="s">
        <v>1185</v>
      </c>
      <c r="B970" s="2" t="str">
        <f>HYPERLINK("https://www.elsevier.com/locate/issn/2665-9727", "Environmental and Sustainability Indicators")</f>
        <v>Environmental and Sustainability Indicators</v>
      </c>
      <c r="C970" s="1" t="s">
        <v>23</v>
      </c>
      <c r="D970" s="1">
        <v>2050</v>
      </c>
      <c r="E970" s="1">
        <v>1920</v>
      </c>
      <c r="F970" s="1">
        <v>1640</v>
      </c>
      <c r="G970" s="1">
        <v>254260</v>
      </c>
    </row>
    <row r="971" spans="1:7" x14ac:dyDescent="0.25">
      <c r="A971" s="1" t="s">
        <v>1186</v>
      </c>
      <c r="B971" s="2" t="str">
        <f>HYPERLINK("https://www.elsevier.com/locate/issn/2667-0100", "Environmental Challenges")</f>
        <v>Environmental Challenges</v>
      </c>
      <c r="C971" s="1" t="s">
        <v>23</v>
      </c>
      <c r="D971" s="1">
        <v>2140</v>
      </c>
      <c r="E971" s="1">
        <v>2000</v>
      </c>
      <c r="F971" s="1">
        <v>1710</v>
      </c>
      <c r="G971" s="1">
        <v>265420</v>
      </c>
    </row>
    <row r="972" spans="1:7" x14ac:dyDescent="0.25">
      <c r="A972" s="1" t="s">
        <v>1187</v>
      </c>
      <c r="B972" s="2" t="str">
        <f>HYPERLINK("https://www.elsevier.com/locate/issn/2590-1826", "Environmental Chemistry and Ecotoxicology")</f>
        <v>Environmental Chemistry and Ecotoxicology</v>
      </c>
      <c r="C972" s="1" t="s">
        <v>34</v>
      </c>
      <c r="D972" s="1">
        <v>700</v>
      </c>
      <c r="E972" s="1">
        <v>650</v>
      </c>
      <c r="F972" s="1">
        <v>560</v>
      </c>
      <c r="G972" s="1">
        <v>86820</v>
      </c>
    </row>
    <row r="973" spans="1:7" x14ac:dyDescent="0.25">
      <c r="A973" s="1" t="s">
        <v>1188</v>
      </c>
      <c r="B973" s="2" t="str">
        <f>HYPERLINK("https://www.elsevier.com/locate/issn/2211-4645", "Environmental Development")</f>
        <v>Environmental Development</v>
      </c>
      <c r="C973" s="1" t="s">
        <v>10</v>
      </c>
      <c r="D973" s="1">
        <v>3540</v>
      </c>
      <c r="E973" s="1">
        <v>3310</v>
      </c>
      <c r="F973" s="1">
        <v>2830</v>
      </c>
      <c r="G973" s="1">
        <v>439070</v>
      </c>
    </row>
    <row r="974" spans="1:7" x14ac:dyDescent="0.25">
      <c r="A974" s="1" t="s">
        <v>1189</v>
      </c>
      <c r="B974" s="2" t="str">
        <f>HYPERLINK("https://www.elsevier.com/locate/issn/2773-0581", "Environmental Functional Materials")</f>
        <v>Environmental Functional Materials</v>
      </c>
      <c r="C974" s="1" t="s">
        <v>34</v>
      </c>
      <c r="D974" s="1" t="s">
        <v>324</v>
      </c>
      <c r="E974" s="1" t="s">
        <v>324</v>
      </c>
      <c r="F974" s="1" t="s">
        <v>324</v>
      </c>
      <c r="G974" s="1" t="s">
        <v>324</v>
      </c>
    </row>
    <row r="975" spans="1:7" x14ac:dyDescent="0.25">
      <c r="A975" s="1" t="s">
        <v>1190</v>
      </c>
      <c r="B975" s="2" t="str">
        <f>HYPERLINK("https://www.elsevier.com/locate/issn/0195-9255", "Environmental Impact Assessment Review")</f>
        <v>Environmental Impact Assessment Review</v>
      </c>
      <c r="C975" s="1" t="s">
        <v>10</v>
      </c>
      <c r="D975" s="1">
        <v>3900</v>
      </c>
      <c r="E975" s="1">
        <v>3650</v>
      </c>
      <c r="F975" s="1">
        <v>3120</v>
      </c>
      <c r="G975" s="1">
        <v>483720</v>
      </c>
    </row>
    <row r="976" spans="1:7" x14ac:dyDescent="0.25">
      <c r="A976" s="1" t="s">
        <v>1191</v>
      </c>
      <c r="B976" s="2" t="str">
        <f>HYPERLINK("https://www.elsevier.com/locate/issn/2210-4224", "Environmental Innovation and Societal Transitions")</f>
        <v>Environmental Innovation and Societal Transitions</v>
      </c>
      <c r="C976" s="1" t="s">
        <v>10</v>
      </c>
      <c r="D976" s="1">
        <v>3610</v>
      </c>
      <c r="E976" s="1">
        <v>3380</v>
      </c>
      <c r="F976" s="1">
        <v>2890</v>
      </c>
      <c r="G976" s="1">
        <v>447750</v>
      </c>
    </row>
    <row r="977" spans="1:7" x14ac:dyDescent="0.25">
      <c r="A977" s="1" t="s">
        <v>1192</v>
      </c>
      <c r="B977" s="2" t="str">
        <f>HYPERLINK("https://www.elsevier.com/locate/issn/1364-8152", "Environmental Modelling &amp; Software")</f>
        <v>Environmental Modelling &amp; Software</v>
      </c>
      <c r="C977" s="1" t="s">
        <v>10</v>
      </c>
      <c r="D977" s="1">
        <v>3500</v>
      </c>
      <c r="E977" s="1">
        <v>3270</v>
      </c>
      <c r="F977" s="1">
        <v>2800</v>
      </c>
      <c r="G977" s="1">
        <v>434110</v>
      </c>
    </row>
    <row r="978" spans="1:7" x14ac:dyDescent="0.25">
      <c r="A978" s="1" t="s">
        <v>1193</v>
      </c>
      <c r="B978" s="2" t="str">
        <f>HYPERLINK("https://www.elsevier.com/locate/issn/3050-9890", "Environmental Nexus")</f>
        <v>Environmental Nexus</v>
      </c>
      <c r="C978" s="1" t="s">
        <v>23</v>
      </c>
      <c r="D978" s="1">
        <v>2800</v>
      </c>
      <c r="E978" s="1">
        <v>2620</v>
      </c>
      <c r="F978" s="1">
        <v>2240</v>
      </c>
      <c r="G978" s="1">
        <v>347280</v>
      </c>
    </row>
    <row r="979" spans="1:7" x14ac:dyDescent="0.25">
      <c r="A979" s="1" t="s">
        <v>1194</v>
      </c>
      <c r="B979" s="2" t="str">
        <f>HYPERLINK("https://www.elsevier.com/locate/issn/0269-7491", "Environmental Pollution")</f>
        <v>Environmental Pollution</v>
      </c>
      <c r="C979" s="1" t="s">
        <v>10</v>
      </c>
      <c r="D979" s="1">
        <v>4090</v>
      </c>
      <c r="E979" s="1">
        <v>3830</v>
      </c>
      <c r="F979" s="1">
        <v>3270</v>
      </c>
      <c r="G979" s="1">
        <v>507280</v>
      </c>
    </row>
    <row r="980" spans="1:7" x14ac:dyDescent="0.25">
      <c r="A980" s="1" t="s">
        <v>1195</v>
      </c>
      <c r="B980" s="2" t="str">
        <f>HYPERLINK("https://www.elsevier.com/locate/issn/2950-3051", "Environmental Pollution and Management")</f>
        <v>Environmental Pollution and Management</v>
      </c>
      <c r="C980" s="1" t="s">
        <v>34</v>
      </c>
      <c r="D980" s="1" t="s">
        <v>324</v>
      </c>
      <c r="E980" s="1" t="s">
        <v>324</v>
      </c>
      <c r="F980" s="1" t="s">
        <v>324</v>
      </c>
      <c r="G980" s="1" t="s">
        <v>324</v>
      </c>
    </row>
    <row r="981" spans="1:7" x14ac:dyDescent="0.25">
      <c r="A981" s="1" t="s">
        <v>1196</v>
      </c>
      <c r="B981" s="2" t="str">
        <f>HYPERLINK("https://www.elsevier.com/locate/issn/0013-9351", "Environmental Research")</f>
        <v>Environmental Research</v>
      </c>
      <c r="C981" s="1" t="s">
        <v>10</v>
      </c>
      <c r="D981" s="1">
        <v>3880</v>
      </c>
      <c r="E981" s="1">
        <v>3630</v>
      </c>
      <c r="F981" s="1">
        <v>3110</v>
      </c>
      <c r="G981" s="1">
        <v>481240</v>
      </c>
    </row>
    <row r="982" spans="1:7" x14ac:dyDescent="0.25">
      <c r="A982" s="1" t="s">
        <v>1197</v>
      </c>
      <c r="B982" s="2" t="str">
        <f>HYPERLINK("https://www.elsevier.com/locate/issn/1462-9011", "Environmental Science &amp; Policy")</f>
        <v>Environmental Science &amp; Policy</v>
      </c>
      <c r="C982" s="1" t="s">
        <v>10</v>
      </c>
      <c r="D982" s="1">
        <v>4250</v>
      </c>
      <c r="E982" s="1">
        <v>3980</v>
      </c>
      <c r="F982" s="1">
        <v>3400</v>
      </c>
      <c r="G982" s="1">
        <v>527130</v>
      </c>
    </row>
    <row r="983" spans="1:7" x14ac:dyDescent="0.25">
      <c r="A983" s="1" t="s">
        <v>1198</v>
      </c>
      <c r="B983" s="2" t="str">
        <f>HYPERLINK("https://www.elsevier.com/locate/issn/2666-4984", "Environmental Science and Ecotechnology")</f>
        <v>Environmental Science and Ecotechnology</v>
      </c>
      <c r="C983" s="1" t="s">
        <v>23</v>
      </c>
      <c r="D983" s="1">
        <v>2000</v>
      </c>
      <c r="E983" s="1">
        <v>1870</v>
      </c>
      <c r="F983" s="1">
        <v>1600</v>
      </c>
      <c r="G983" s="1">
        <v>248060</v>
      </c>
    </row>
    <row r="984" spans="1:7" x14ac:dyDescent="0.25">
      <c r="A984" s="1" t="s">
        <v>1199</v>
      </c>
      <c r="B984" s="2" t="str">
        <f>HYPERLINK("https://www.elsevier.com/locate/issn/2949-8643", "Environmental Surfaces and Interfaces")</f>
        <v>Environmental Surfaces and Interfaces</v>
      </c>
      <c r="C984" s="1" t="s">
        <v>34</v>
      </c>
      <c r="D984" s="1" t="s">
        <v>324</v>
      </c>
      <c r="E984" s="1" t="s">
        <v>324</v>
      </c>
      <c r="F984" s="1" t="s">
        <v>324</v>
      </c>
      <c r="G984" s="1" t="s">
        <v>324</v>
      </c>
    </row>
    <row r="985" spans="1:7" x14ac:dyDescent="0.25">
      <c r="A985" s="1" t="s">
        <v>1200</v>
      </c>
      <c r="B985" s="2" t="str">
        <f>HYPERLINK("https://www.elsevier.com/locate/issn/2352-1864", "Environmental Technology &amp; Innovation")</f>
        <v>Environmental Technology &amp; Innovation</v>
      </c>
      <c r="C985" s="1" t="s">
        <v>23</v>
      </c>
      <c r="D985" s="1">
        <v>2730</v>
      </c>
      <c r="E985" s="1">
        <v>2550</v>
      </c>
      <c r="F985" s="1">
        <v>2190</v>
      </c>
      <c r="G985" s="1">
        <v>338600</v>
      </c>
    </row>
    <row r="986" spans="1:7" x14ac:dyDescent="0.25">
      <c r="A986" s="1" t="s">
        <v>1201</v>
      </c>
      <c r="B986" s="2" t="str">
        <f>HYPERLINK("https://www.elsevier.com/locate/issn/1382-6689", "Environmental Toxicology and Pharmacology")</f>
        <v>Environmental Toxicology and Pharmacology</v>
      </c>
      <c r="C986" s="1" t="s">
        <v>10</v>
      </c>
      <c r="D986" s="1">
        <v>3540</v>
      </c>
      <c r="E986" s="1">
        <v>3310</v>
      </c>
      <c r="F986" s="1">
        <v>2830</v>
      </c>
      <c r="G986" s="1">
        <v>439070</v>
      </c>
    </row>
    <row r="987" spans="1:7" x14ac:dyDescent="0.25">
      <c r="A987" s="1" t="s">
        <v>1202</v>
      </c>
      <c r="B987" s="2" t="str">
        <f>HYPERLINK("https://www.elsevier.com/locate/issn/0141-0229", "Enzyme and Microbial Technology")</f>
        <v>Enzyme and Microbial Technology</v>
      </c>
      <c r="C987" s="1" t="s">
        <v>10</v>
      </c>
      <c r="D987" s="1">
        <v>3700</v>
      </c>
      <c r="E987" s="1">
        <v>3460</v>
      </c>
      <c r="F987" s="1">
        <v>2960</v>
      </c>
      <c r="G987" s="1">
        <v>458910</v>
      </c>
    </row>
    <row r="988" spans="1:7" x14ac:dyDescent="0.25">
      <c r="A988" s="1" t="s">
        <v>1203</v>
      </c>
      <c r="B988" s="2" t="str">
        <f>HYPERLINK("https://www.elsevier.com/locate/issn/1755-4365", "Epidemics")</f>
        <v>Epidemics</v>
      </c>
      <c r="C988" s="1" t="s">
        <v>23</v>
      </c>
      <c r="D988" s="1">
        <v>2730</v>
      </c>
      <c r="E988" s="1">
        <v>2550</v>
      </c>
      <c r="F988" s="1">
        <v>2190</v>
      </c>
      <c r="G988" s="1">
        <v>338600</v>
      </c>
    </row>
    <row r="989" spans="1:7" x14ac:dyDescent="0.25">
      <c r="A989" s="1" t="s">
        <v>1204</v>
      </c>
      <c r="B989" s="2" t="str">
        <f>HYPERLINK("https://www.elsevier.com/locate/issn/1525-5050", "Epilepsy &amp; Behavior")</f>
        <v>Epilepsy &amp; Behavior</v>
      </c>
      <c r="C989" s="1" t="s">
        <v>10</v>
      </c>
      <c r="D989" s="1">
        <v>3060</v>
      </c>
      <c r="E989" s="1">
        <v>2860</v>
      </c>
      <c r="F989" s="1">
        <v>2450</v>
      </c>
      <c r="G989" s="1">
        <v>379530</v>
      </c>
    </row>
    <row r="990" spans="1:7" x14ac:dyDescent="0.25">
      <c r="A990" s="1" t="s">
        <v>1205</v>
      </c>
      <c r="B990" s="2" t="str">
        <f>HYPERLINK("https://www.elsevier.com/locate/issn/2589-9864", "Epilepsy &amp; Behavior Reports ")</f>
        <v>Epilepsy &amp; Behavior Reports </v>
      </c>
      <c r="C990" s="1" t="s">
        <v>23</v>
      </c>
      <c r="D990" s="1">
        <v>2630</v>
      </c>
      <c r="E990" s="1">
        <v>2460</v>
      </c>
      <c r="F990" s="1">
        <v>2110</v>
      </c>
      <c r="G990" s="1">
        <v>326200</v>
      </c>
    </row>
    <row r="991" spans="1:7" x14ac:dyDescent="0.25">
      <c r="A991" s="1" t="s">
        <v>1206</v>
      </c>
      <c r="B991" s="2" t="str">
        <f>HYPERLINK("https://www.elsevier.com/locate/issn/0920-1211", "Epilepsy Research")</f>
        <v>Epilepsy Research</v>
      </c>
      <c r="C991" s="1" t="s">
        <v>10</v>
      </c>
      <c r="D991" s="1">
        <v>2880</v>
      </c>
      <c r="E991" s="1">
        <v>2690</v>
      </c>
      <c r="F991" s="1">
        <v>2310</v>
      </c>
      <c r="G991" s="1">
        <v>357210</v>
      </c>
    </row>
    <row r="992" spans="1:7" x14ac:dyDescent="0.25">
      <c r="A992" s="1" t="s">
        <v>1207</v>
      </c>
      <c r="B992" s="2" t="str">
        <f>HYPERLINK("https://www.elsevier.com/locate/issn/3050-8401", "Equity Neuroscience")</f>
        <v>Equity Neuroscience</v>
      </c>
      <c r="C992" s="1" t="s">
        <v>23</v>
      </c>
      <c r="D992" s="1">
        <v>1200</v>
      </c>
      <c r="E992" s="1">
        <v>1120</v>
      </c>
      <c r="F992" s="1">
        <v>960</v>
      </c>
      <c r="G992" s="1">
        <v>148840</v>
      </c>
    </row>
    <row r="993" spans="1:7" x14ac:dyDescent="0.25">
      <c r="A993" s="1" t="s">
        <v>1208</v>
      </c>
      <c r="B993" s="2" t="str">
        <f>HYPERLINK("https://www.elsevier.com/locate/issn/2667-1417", "eScience")</f>
        <v>eScience</v>
      </c>
      <c r="C993" s="1" t="s">
        <v>34</v>
      </c>
      <c r="D993" s="1" t="s">
        <v>324</v>
      </c>
      <c r="E993" s="1" t="s">
        <v>324</v>
      </c>
      <c r="F993" s="1" t="s">
        <v>324</v>
      </c>
      <c r="G993" s="1" t="s">
        <v>324</v>
      </c>
    </row>
    <row r="994" spans="1:7" x14ac:dyDescent="0.25">
      <c r="A994" s="1" t="s">
        <v>1209</v>
      </c>
      <c r="B994" s="2" t="str">
        <f>HYPERLINK("https://www.elsevier.com/locate/issn/3050-9955", "eScience Energy")</f>
        <v>eScience Energy</v>
      </c>
      <c r="C994" s="1" t="s">
        <v>34</v>
      </c>
      <c r="D994" s="1" t="s">
        <v>324</v>
      </c>
      <c r="E994" s="1" t="s">
        <v>324</v>
      </c>
      <c r="F994" s="1" t="s">
        <v>324</v>
      </c>
      <c r="G994" s="1" t="s">
        <v>324</v>
      </c>
    </row>
    <row r="995" spans="1:7" x14ac:dyDescent="0.25">
      <c r="A995" s="1" t="s">
        <v>1210</v>
      </c>
      <c r="B995" s="2" t="str">
        <f>HYPERLINK("https://www.elsevier.com/locate/issn/2949-8198", "ESMO Gastrointestinal Oncology")</f>
        <v>ESMO Gastrointestinal Oncology</v>
      </c>
      <c r="C995" s="1" t="s">
        <v>23</v>
      </c>
      <c r="D995" s="1">
        <v>3170</v>
      </c>
      <c r="E995" s="1">
        <v>2890</v>
      </c>
      <c r="F995" s="1">
        <v>2540</v>
      </c>
      <c r="G995" s="1">
        <v>393180</v>
      </c>
    </row>
    <row r="996" spans="1:7" x14ac:dyDescent="0.25">
      <c r="A996" s="1" t="s">
        <v>1211</v>
      </c>
      <c r="B996" s="2" t="str">
        <f>HYPERLINK("https://www.elsevier.com/locate/issn/2059-7029", "ESMO Open")</f>
        <v>ESMO Open</v>
      </c>
      <c r="C996" s="1" t="s">
        <v>23</v>
      </c>
      <c r="D996" s="1">
        <v>3910</v>
      </c>
      <c r="E996" s="1">
        <v>3660</v>
      </c>
      <c r="F996" s="1">
        <v>3130</v>
      </c>
      <c r="G996" s="1">
        <v>484960</v>
      </c>
    </row>
    <row r="997" spans="1:7" x14ac:dyDescent="0.25">
      <c r="A997" s="1" t="s">
        <v>1212</v>
      </c>
      <c r="B997" s="2" t="str">
        <f>HYPERLINK("https://www.elsevier.com/locate/issn/3050-4619", "ESMO Rare Cancers")</f>
        <v>ESMO Rare Cancers</v>
      </c>
      <c r="C997" s="1" t="s">
        <v>23</v>
      </c>
      <c r="D997" s="1">
        <v>3170</v>
      </c>
      <c r="E997" s="1">
        <v>2970</v>
      </c>
      <c r="F997" s="1">
        <v>2540</v>
      </c>
      <c r="G997" s="1">
        <v>393180</v>
      </c>
    </row>
    <row r="998" spans="1:7" x14ac:dyDescent="0.25">
      <c r="A998" s="1" t="s">
        <v>1213</v>
      </c>
      <c r="B998" s="2" t="str">
        <f>HYPERLINK("https://www.elsevier.com/locate/issn/2949-8201", "ESMO Real World Data and Digital Oncology")</f>
        <v>ESMO Real World Data and Digital Oncology</v>
      </c>
      <c r="C998" s="1" t="s">
        <v>23</v>
      </c>
      <c r="D998" s="1">
        <v>3170</v>
      </c>
      <c r="E998" s="1">
        <v>2890</v>
      </c>
      <c r="F998" s="1">
        <v>2540</v>
      </c>
      <c r="G998" s="1">
        <v>393180</v>
      </c>
    </row>
    <row r="999" spans="1:7" x14ac:dyDescent="0.25">
      <c r="A999" s="1" t="s">
        <v>1214</v>
      </c>
      <c r="B999" s="2" t="str">
        <f>HYPERLINK("https://www.elsevier.com/locate/issn/2590-1168", "eTransportation")</f>
        <v>eTransportation</v>
      </c>
      <c r="C999" s="1" t="s">
        <v>10</v>
      </c>
      <c r="D999" s="1">
        <v>3580</v>
      </c>
      <c r="E999" s="1">
        <v>3350</v>
      </c>
      <c r="F999" s="1">
        <v>2870</v>
      </c>
      <c r="G999" s="1">
        <v>444030</v>
      </c>
    </row>
    <row r="1000" spans="1:7" x14ac:dyDescent="0.25">
      <c r="A1000" s="1" t="s">
        <v>1215</v>
      </c>
      <c r="B1000" s="2" t="str">
        <f>HYPERLINK("https://www.elsevier.com/locate/issn/3050-7081", "EULAR Rheumatology Open")</f>
        <v>EULAR Rheumatology Open</v>
      </c>
      <c r="C1000" s="1" t="s">
        <v>23</v>
      </c>
      <c r="D1000" s="1">
        <v>2080</v>
      </c>
      <c r="E1000" s="1">
        <v>1950</v>
      </c>
      <c r="F1000" s="1">
        <v>1660</v>
      </c>
      <c r="G1000" s="1">
        <v>257690</v>
      </c>
    </row>
    <row r="1001" spans="1:7" x14ac:dyDescent="0.25">
      <c r="A1001" s="1" t="s">
        <v>1216</v>
      </c>
      <c r="B1001" s="2" t="str">
        <f>HYPERLINK("https://www.elsevier.com/locate/issn/2212-9685", "EuPA Open Proteomics")</f>
        <v>EuPA Open Proteomics</v>
      </c>
      <c r="C1001" s="1" t="s">
        <v>23</v>
      </c>
      <c r="D1001" s="1">
        <v>1700</v>
      </c>
      <c r="E1001" s="1">
        <v>1590</v>
      </c>
      <c r="F1001" s="1">
        <v>1360</v>
      </c>
      <c r="G1001" s="1">
        <v>210850</v>
      </c>
    </row>
    <row r="1002" spans="1:7" x14ac:dyDescent="0.25">
      <c r="A1002" s="1" t="s">
        <v>1217</v>
      </c>
      <c r="B1002" s="2" t="str">
        <f>HYPERLINK("https://www.elsevier.com/locate/issn/2192-4406", "EURO Journal on Computational Optimization")</f>
        <v>EURO Journal on Computational Optimization</v>
      </c>
      <c r="C1002" s="1" t="s">
        <v>23</v>
      </c>
      <c r="D1002" s="1">
        <v>1400</v>
      </c>
      <c r="E1002" s="1">
        <v>1310</v>
      </c>
      <c r="F1002" s="1">
        <v>1120</v>
      </c>
      <c r="G1002" s="1">
        <v>173640</v>
      </c>
    </row>
    <row r="1003" spans="1:7" x14ac:dyDescent="0.25">
      <c r="A1003" s="1" t="s">
        <v>1218</v>
      </c>
      <c r="B1003" s="2" t="str">
        <f>HYPERLINK("https://www.elsevier.com/locate/issn/2193-9438", "EURO Journal on Decision Processes")</f>
        <v>EURO Journal on Decision Processes</v>
      </c>
      <c r="C1003" s="1" t="s">
        <v>23</v>
      </c>
      <c r="D1003" s="1">
        <v>1400</v>
      </c>
      <c r="E1003" s="1">
        <v>1310</v>
      </c>
      <c r="F1003" s="1">
        <v>1120</v>
      </c>
      <c r="G1003" s="1">
        <v>173640</v>
      </c>
    </row>
    <row r="1004" spans="1:7" x14ac:dyDescent="0.25">
      <c r="A1004" s="1" t="s">
        <v>1219</v>
      </c>
      <c r="B1004" s="2" t="str">
        <f>HYPERLINK("https://www.elsevier.com/locate/issn/2192-4376", "EURO Journal on Transportation and Logistics")</f>
        <v>EURO Journal on Transportation and Logistics</v>
      </c>
      <c r="C1004" s="1" t="s">
        <v>23</v>
      </c>
      <c r="D1004" s="1">
        <v>1400</v>
      </c>
      <c r="E1004" s="1">
        <v>1310</v>
      </c>
      <c r="F1004" s="1">
        <v>1120</v>
      </c>
      <c r="G1004" s="1">
        <v>173640</v>
      </c>
    </row>
    <row r="1005" spans="1:7" x14ac:dyDescent="0.25">
      <c r="A1005" s="1" t="s">
        <v>1220</v>
      </c>
      <c r="B1005" s="2" t="str">
        <f>HYPERLINK("https://www.elsevier.com/locate/issn/0014-2921", "European Economic Review")</f>
        <v>European Economic Review</v>
      </c>
      <c r="C1005" s="1" t="s">
        <v>10</v>
      </c>
      <c r="D1005" s="1">
        <v>3690</v>
      </c>
      <c r="E1005" s="1">
        <v>3450</v>
      </c>
      <c r="F1005" s="1">
        <v>2950</v>
      </c>
      <c r="G1005" s="1">
        <v>457670</v>
      </c>
    </row>
    <row r="1006" spans="1:7" x14ac:dyDescent="0.25">
      <c r="A1006" s="1" t="s">
        <v>1221</v>
      </c>
      <c r="B1006" s="2" t="str">
        <f>HYPERLINK("https://www.elsevier.com/locate/issn/1161-0301", "European Journal of Agronomy")</f>
        <v>European Journal of Agronomy</v>
      </c>
      <c r="C1006" s="1" t="s">
        <v>10</v>
      </c>
      <c r="D1006" s="1">
        <v>3200</v>
      </c>
      <c r="E1006" s="1">
        <v>2990</v>
      </c>
      <c r="F1006" s="1">
        <v>2560</v>
      </c>
      <c r="G1006" s="1">
        <v>396900</v>
      </c>
    </row>
    <row r="1007" spans="1:7" x14ac:dyDescent="0.25">
      <c r="A1007" s="1" t="s">
        <v>1222</v>
      </c>
      <c r="B1007" s="2" t="str">
        <f>HYPERLINK("https://www.elsevier.com/locate/issn/0959-8049", "European Journal of Cancer")</f>
        <v>European Journal of Cancer</v>
      </c>
      <c r="C1007" s="1" t="s">
        <v>10</v>
      </c>
      <c r="D1007" s="1">
        <v>4270</v>
      </c>
      <c r="E1007" s="1">
        <v>3990</v>
      </c>
      <c r="F1007" s="1">
        <v>3420</v>
      </c>
      <c r="G1007" s="1">
        <v>529610</v>
      </c>
    </row>
    <row r="1008" spans="1:7" x14ac:dyDescent="0.25">
      <c r="A1008" s="1" t="s">
        <v>1223</v>
      </c>
      <c r="B1008" s="2" t="str">
        <f>HYPERLINK("https://www.elsevier.com/locate/issn/1359-6349", "European Journal of Cancer Supplements")</f>
        <v>European Journal of Cancer Supplements</v>
      </c>
      <c r="C1008" s="1" t="s">
        <v>23</v>
      </c>
      <c r="D1008" s="1" t="s">
        <v>324</v>
      </c>
      <c r="E1008" s="1" t="s">
        <v>324</v>
      </c>
      <c r="F1008" s="1" t="s">
        <v>324</v>
      </c>
      <c r="G1008" s="1" t="s">
        <v>324</v>
      </c>
    </row>
    <row r="1009" spans="1:7" x14ac:dyDescent="0.25">
      <c r="A1009" s="1" t="s">
        <v>1224</v>
      </c>
      <c r="B1009" s="2" t="str">
        <f>HYPERLINK("https://www.elsevier.com/locate/issn/0171-9335", "European Journal of Cell Biology")</f>
        <v>European Journal of Cell Biology</v>
      </c>
      <c r="C1009" s="1" t="s">
        <v>23</v>
      </c>
      <c r="D1009" s="1">
        <v>2950</v>
      </c>
      <c r="E1009" s="1">
        <v>2760</v>
      </c>
      <c r="F1009" s="1">
        <v>2360</v>
      </c>
      <c r="G1009" s="1">
        <v>365890</v>
      </c>
    </row>
    <row r="1010" spans="1:7" x14ac:dyDescent="0.25">
      <c r="A1010" s="1" t="s">
        <v>1225</v>
      </c>
      <c r="B1010" s="2" t="str">
        <f>HYPERLINK("https://www.elsevier.com/locate/issn/0195-6698", "European Journal of Combinatorics")</f>
        <v>European Journal of Combinatorics</v>
      </c>
      <c r="C1010" s="1" t="s">
        <v>10</v>
      </c>
      <c r="D1010" s="1">
        <v>3560</v>
      </c>
      <c r="E1010" s="1">
        <v>3330</v>
      </c>
      <c r="F1010" s="1">
        <v>2850</v>
      </c>
      <c r="G1010" s="1">
        <v>441550</v>
      </c>
    </row>
    <row r="1011" spans="1:7" x14ac:dyDescent="0.25">
      <c r="A1011" s="1" t="s">
        <v>1226</v>
      </c>
      <c r="B1011" s="2" t="str">
        <f>HYPERLINK("https://www.elsevier.com/locate/issn/0947-3580", "European Journal of Control")</f>
        <v>European Journal of Control</v>
      </c>
      <c r="C1011" s="1" t="s">
        <v>10</v>
      </c>
      <c r="D1011" s="1">
        <v>2850</v>
      </c>
      <c r="E1011" s="1">
        <v>2670</v>
      </c>
      <c r="F1011" s="1">
        <v>2280</v>
      </c>
      <c r="G1011" s="1">
        <v>353490</v>
      </c>
    </row>
    <row r="1012" spans="1:7" x14ac:dyDescent="0.25">
      <c r="A1012" s="1" t="s">
        <v>1227</v>
      </c>
      <c r="B1012" s="2" t="str">
        <f>HYPERLINK("https://www.elsevier.com/locate/issn/1876-3820", "European Journal of Integrative Medicine")</f>
        <v>European Journal of Integrative Medicine</v>
      </c>
      <c r="C1012" s="1" t="s">
        <v>10</v>
      </c>
      <c r="D1012" s="1">
        <v>2430</v>
      </c>
      <c r="E1012" s="1">
        <v>2270</v>
      </c>
      <c r="F1012" s="1">
        <v>1950</v>
      </c>
      <c r="G1012" s="1">
        <v>301390</v>
      </c>
    </row>
    <row r="1013" spans="1:7" x14ac:dyDescent="0.25">
      <c r="A1013" s="1" t="s">
        <v>1228</v>
      </c>
      <c r="B1013" s="2" t="str">
        <f>HYPERLINK("https://www.elsevier.com/locate/issn/0953-6205", "European Journal of Internal Medicine")</f>
        <v>European Journal of Internal Medicine</v>
      </c>
      <c r="C1013" s="1" t="s">
        <v>10</v>
      </c>
      <c r="D1013" s="1">
        <v>3520</v>
      </c>
      <c r="E1013" s="1">
        <v>3290</v>
      </c>
      <c r="F1013" s="1">
        <v>2820</v>
      </c>
      <c r="G1013" s="1">
        <v>436590</v>
      </c>
    </row>
    <row r="1014" spans="1:7" x14ac:dyDescent="0.25">
      <c r="A1014" s="1" t="s">
        <v>1229</v>
      </c>
      <c r="B1014" s="2" t="str">
        <f>HYPERLINK("https://www.elsevier.com/locate/issn/0997-7538", "European Journal of Mechanics - A/Solids")</f>
        <v>European Journal of Mechanics - A/Solids</v>
      </c>
      <c r="C1014" s="1" t="s">
        <v>10</v>
      </c>
      <c r="D1014" s="1">
        <v>4040</v>
      </c>
      <c r="E1014" s="1">
        <v>3780</v>
      </c>
      <c r="F1014" s="1">
        <v>3230</v>
      </c>
      <c r="G1014" s="1">
        <v>501080</v>
      </c>
    </row>
    <row r="1015" spans="1:7" x14ac:dyDescent="0.25">
      <c r="A1015" s="1" t="s">
        <v>1230</v>
      </c>
      <c r="B1015" s="2" t="str">
        <f>HYPERLINK("https://www.elsevier.com/locate/issn/0997-7546", "European Journal of Mechanics - B/Fluids")</f>
        <v>European Journal of Mechanics - B/Fluids</v>
      </c>
      <c r="C1015" s="1" t="s">
        <v>10</v>
      </c>
      <c r="D1015" s="1">
        <v>3380</v>
      </c>
      <c r="E1015" s="1">
        <v>3160</v>
      </c>
      <c r="F1015" s="1">
        <v>2710</v>
      </c>
      <c r="G1015" s="1">
        <v>419220</v>
      </c>
    </row>
    <row r="1016" spans="1:7" x14ac:dyDescent="0.25">
      <c r="A1016" s="1" t="s">
        <v>1231</v>
      </c>
      <c r="B1016" s="2" t="str">
        <f>HYPERLINK("https://www.elsevier.com/locate/issn/1769-7212", "European Journal of Medical Genetics")</f>
        <v>European Journal of Medical Genetics</v>
      </c>
      <c r="C1016" s="1" t="s">
        <v>23</v>
      </c>
      <c r="D1016" s="1">
        <v>3330</v>
      </c>
      <c r="E1016" s="1">
        <v>3120</v>
      </c>
      <c r="F1016" s="1">
        <v>2670</v>
      </c>
      <c r="G1016" s="1">
        <v>413020</v>
      </c>
    </row>
    <row r="1017" spans="1:7" x14ac:dyDescent="0.25">
      <c r="A1017" s="1" t="s">
        <v>1232</v>
      </c>
      <c r="B1017" s="2" t="str">
        <f>HYPERLINK("https://www.elsevier.com/locate/issn/0223-5234", "European Journal of Medicinal Chemistry")</f>
        <v>European Journal of Medicinal Chemistry</v>
      </c>
      <c r="C1017" s="1" t="s">
        <v>10</v>
      </c>
      <c r="D1017" s="1">
        <v>4650</v>
      </c>
      <c r="E1017" s="1">
        <v>4350</v>
      </c>
      <c r="F1017" s="1">
        <v>3720</v>
      </c>
      <c r="G1017" s="1">
        <v>576740</v>
      </c>
    </row>
    <row r="1018" spans="1:7" x14ac:dyDescent="0.25">
      <c r="A1018" s="1" t="s">
        <v>1233</v>
      </c>
      <c r="B1018" s="2" t="str">
        <f>HYPERLINK("https://www.elsevier.com/locate/issn/2772-4174", "European Journal of Medicinal Chemistry Reports")</f>
        <v>European Journal of Medicinal Chemistry Reports</v>
      </c>
      <c r="C1018" s="1" t="s">
        <v>23</v>
      </c>
      <c r="D1018" s="1">
        <v>1870</v>
      </c>
      <c r="E1018" s="1">
        <v>1750</v>
      </c>
      <c r="F1018" s="1">
        <v>1500</v>
      </c>
      <c r="G1018" s="1">
        <v>231940</v>
      </c>
    </row>
    <row r="1019" spans="1:7" x14ac:dyDescent="0.25">
      <c r="A1019" s="1" t="s">
        <v>1234</v>
      </c>
      <c r="B1019" s="2" t="str">
        <f>HYPERLINK("https://www.elsevier.com/locate/issn/0301-2115", "European Journal of Obstetrics &amp; Gynecology and Reproductive Biology")</f>
        <v>European Journal of Obstetrics &amp; Gynecology and Reproductive Biology</v>
      </c>
      <c r="C1019" s="1" t="s">
        <v>10</v>
      </c>
      <c r="D1019" s="1">
        <v>3440</v>
      </c>
      <c r="E1019" s="1">
        <v>3220</v>
      </c>
      <c r="F1019" s="1">
        <v>2750</v>
      </c>
      <c r="G1019" s="1">
        <v>426660</v>
      </c>
    </row>
    <row r="1020" spans="1:7" x14ac:dyDescent="0.25">
      <c r="A1020" s="1" t="s">
        <v>1235</v>
      </c>
      <c r="B1020" s="2" t="str">
        <f>HYPERLINK("https://www.elsevier.com/locate/issn/2590-1613", "European Journal of Obstetrics &amp; Gynecology and Reproductive Biology: X")</f>
        <v>European Journal of Obstetrics &amp; Gynecology and Reproductive Biology: X</v>
      </c>
      <c r="C1020" s="1" t="s">
        <v>23</v>
      </c>
      <c r="D1020" s="1">
        <v>2400</v>
      </c>
      <c r="E1020" s="1">
        <v>2250</v>
      </c>
      <c r="F1020" s="1">
        <v>1920</v>
      </c>
      <c r="G1020" s="1">
        <v>297670</v>
      </c>
    </row>
    <row r="1021" spans="1:7" x14ac:dyDescent="0.25">
      <c r="A1021" s="1" t="s">
        <v>1236</v>
      </c>
      <c r="B1021" s="2" t="str">
        <f>HYPERLINK("https://www.elsevier.com/locate/issn/1462-3889", "European Journal of Oncology Nursing")</f>
        <v>European Journal of Oncology Nursing</v>
      </c>
      <c r="C1021" s="1" t="s">
        <v>10</v>
      </c>
      <c r="D1021" s="1">
        <v>3790</v>
      </c>
      <c r="E1021" s="1">
        <v>3550</v>
      </c>
      <c r="F1021" s="1">
        <v>3030</v>
      </c>
      <c r="G1021" s="1">
        <v>470070</v>
      </c>
    </row>
    <row r="1022" spans="1:7" x14ac:dyDescent="0.25">
      <c r="A1022" s="1" t="s">
        <v>1237</v>
      </c>
      <c r="B1022" s="2" t="str">
        <f>HYPERLINK("https://www.elsevier.com/locate/issn/0377-2217", "European Journal of Operational Research")</f>
        <v>European Journal of Operational Research</v>
      </c>
      <c r="C1022" s="1" t="s">
        <v>10</v>
      </c>
      <c r="D1022" s="1">
        <v>3290</v>
      </c>
      <c r="E1022" s="1">
        <v>3080</v>
      </c>
      <c r="F1022" s="1">
        <v>2630</v>
      </c>
      <c r="G1022" s="1">
        <v>408060</v>
      </c>
    </row>
    <row r="1023" spans="1:7" x14ac:dyDescent="0.25">
      <c r="A1023" s="1" t="s">
        <v>1238</v>
      </c>
      <c r="B1023" s="2" t="str">
        <f>HYPERLINK("https://www.elsevier.com/locate/issn/1090-3798", "European Journal of Paediatric Neurology")</f>
        <v>European Journal of Paediatric Neurology</v>
      </c>
      <c r="C1023" s="1" t="s">
        <v>10</v>
      </c>
      <c r="D1023" s="1">
        <v>2940</v>
      </c>
      <c r="E1023" s="1">
        <v>2750</v>
      </c>
      <c r="F1023" s="1">
        <v>2350</v>
      </c>
      <c r="G1023" s="1">
        <v>364650</v>
      </c>
    </row>
    <row r="1024" spans="1:7" x14ac:dyDescent="0.25">
      <c r="A1024" s="1" t="s">
        <v>1239</v>
      </c>
      <c r="B1024" s="2" t="str">
        <f>HYPERLINK("https://www.elsevier.com/locate/issn/0928-0987", "European Journal of Pharmaceutical Sciences")</f>
        <v>European Journal of Pharmaceutical Sciences</v>
      </c>
      <c r="C1024" s="1" t="s">
        <v>23</v>
      </c>
      <c r="D1024" s="1">
        <v>3070</v>
      </c>
      <c r="E1024" s="1">
        <v>2870</v>
      </c>
      <c r="F1024" s="1">
        <v>2460</v>
      </c>
      <c r="G1024" s="1">
        <v>380770</v>
      </c>
    </row>
    <row r="1025" spans="1:7" x14ac:dyDescent="0.25">
      <c r="A1025" s="1" t="s">
        <v>1240</v>
      </c>
      <c r="B1025" s="2" t="str">
        <f>HYPERLINK("https://www.elsevier.com/locate/issn/0939-6411", "European Journal of Pharmaceutics and Biopharmaceutics")</f>
        <v>European Journal of Pharmaceutics and Biopharmaceutics</v>
      </c>
      <c r="C1025" s="1" t="s">
        <v>10</v>
      </c>
      <c r="D1025" s="1">
        <v>4210</v>
      </c>
      <c r="E1025" s="1">
        <v>3940</v>
      </c>
      <c r="F1025" s="1">
        <v>3370</v>
      </c>
      <c r="G1025" s="1">
        <v>522170</v>
      </c>
    </row>
    <row r="1026" spans="1:7" x14ac:dyDescent="0.25">
      <c r="A1026" s="1" t="s">
        <v>1241</v>
      </c>
      <c r="B1026" s="2" t="str">
        <f>HYPERLINK("https://www.elsevier.com/locate/issn/0014-2999", "European Journal of Pharmacology")</f>
        <v>European Journal of Pharmacology</v>
      </c>
      <c r="C1026" s="1" t="s">
        <v>10</v>
      </c>
      <c r="D1026" s="1">
        <v>3230</v>
      </c>
      <c r="E1026" s="1">
        <v>3020</v>
      </c>
      <c r="F1026" s="1">
        <v>2590</v>
      </c>
      <c r="G1026" s="1">
        <v>400620</v>
      </c>
    </row>
    <row r="1027" spans="1:7" x14ac:dyDescent="0.25">
      <c r="A1027" s="1" t="s">
        <v>1242</v>
      </c>
      <c r="B1027" s="2" t="str">
        <f>HYPERLINK("https://www.elsevier.com/locate/issn/0176-2680", "European Journal of Political Economy")</f>
        <v>European Journal of Political Economy</v>
      </c>
      <c r="C1027" s="1" t="s">
        <v>10</v>
      </c>
      <c r="D1027" s="1">
        <v>3650</v>
      </c>
      <c r="E1027" s="1">
        <v>3410</v>
      </c>
      <c r="F1027" s="1">
        <v>2920</v>
      </c>
      <c r="G1027" s="1">
        <v>452710</v>
      </c>
    </row>
    <row r="1028" spans="1:7" x14ac:dyDescent="0.25">
      <c r="A1028" s="1" t="s">
        <v>1243</v>
      </c>
      <c r="B1028" s="2" t="str">
        <f>HYPERLINK("https://www.elsevier.com/locate/issn/0932-4739", "European Journal of Protistology")</f>
        <v>European Journal of Protistology</v>
      </c>
      <c r="C1028" s="1" t="s">
        <v>10</v>
      </c>
      <c r="D1028" s="1">
        <v>3270</v>
      </c>
      <c r="E1028" s="1">
        <v>3060</v>
      </c>
      <c r="F1028" s="1">
        <v>2620</v>
      </c>
      <c r="G1028" s="1">
        <v>405580</v>
      </c>
    </row>
    <row r="1029" spans="1:7" x14ac:dyDescent="0.25">
      <c r="A1029" s="1" t="s">
        <v>1244</v>
      </c>
      <c r="B1029" s="2" t="str">
        <f>HYPERLINK("https://www.elsevier.com/locate/issn/0720-048X", "European Journal of Radiology")</f>
        <v>European Journal of Radiology</v>
      </c>
      <c r="C1029" s="1" t="s">
        <v>10</v>
      </c>
      <c r="D1029" s="1">
        <v>3440</v>
      </c>
      <c r="E1029" s="1">
        <v>3220</v>
      </c>
      <c r="F1029" s="1">
        <v>2750</v>
      </c>
      <c r="G1029" s="1">
        <v>426660</v>
      </c>
    </row>
    <row r="1030" spans="1:7" x14ac:dyDescent="0.25">
      <c r="A1030" s="1" t="s">
        <v>1245</v>
      </c>
      <c r="B1030" s="2" t="str">
        <f>HYPERLINK("https://www.elsevier.com/locate/issn/3050-5771", "European Journal of Radiology Artificial Intelligence")</f>
        <v>European Journal of Radiology Artificial Intelligence</v>
      </c>
      <c r="C1030" s="1" t="s">
        <v>23</v>
      </c>
      <c r="D1030" s="1">
        <v>2900</v>
      </c>
      <c r="E1030" s="1">
        <v>2710</v>
      </c>
      <c r="F1030" s="1">
        <v>2320</v>
      </c>
      <c r="G1030" s="1">
        <v>359690</v>
      </c>
    </row>
    <row r="1031" spans="1:7" x14ac:dyDescent="0.25">
      <c r="A1031" s="1" t="s">
        <v>1246</v>
      </c>
      <c r="B1031" s="2" t="str">
        <f>HYPERLINK("https://www.elsevier.com/locate/issn/2352-0477", "European Journal of Radiology Open")</f>
        <v>European Journal of Radiology Open</v>
      </c>
      <c r="C1031" s="1" t="s">
        <v>23</v>
      </c>
      <c r="D1031" s="1">
        <v>2610</v>
      </c>
      <c r="E1031" s="1">
        <v>2440</v>
      </c>
      <c r="F1031" s="1">
        <v>2090</v>
      </c>
      <c r="G1031" s="1">
        <v>323720</v>
      </c>
    </row>
    <row r="1032" spans="1:7" x14ac:dyDescent="0.25">
      <c r="A1032" s="1" t="s">
        <v>1247</v>
      </c>
      <c r="B1032" s="2" t="str">
        <f>HYPERLINK("https://www.elsevier.com/locate/issn/1164-5563", "European Journal of Soil Biology")</f>
        <v>European Journal of Soil Biology</v>
      </c>
      <c r="C1032" s="1" t="s">
        <v>10</v>
      </c>
      <c r="D1032" s="1">
        <v>3800</v>
      </c>
      <c r="E1032" s="1">
        <v>3550</v>
      </c>
      <c r="F1032" s="1">
        <v>3040</v>
      </c>
      <c r="G1032" s="1">
        <v>471310</v>
      </c>
    </row>
    <row r="1033" spans="1:7" x14ac:dyDescent="0.25">
      <c r="A1033" s="1" t="s">
        <v>1248</v>
      </c>
      <c r="B1033" s="2" t="str">
        <f>HYPERLINK("https://www.elsevier.com/locate/issn/0748-7983", "European Journal of Surgical Oncology")</f>
        <v>European Journal of Surgical Oncology</v>
      </c>
      <c r="C1033" s="1" t="s">
        <v>10</v>
      </c>
      <c r="D1033" s="1">
        <v>3810</v>
      </c>
      <c r="E1033" s="1">
        <v>3480</v>
      </c>
      <c r="F1033" s="1">
        <v>3050</v>
      </c>
      <c r="G1033" s="1">
        <v>472550</v>
      </c>
    </row>
    <row r="1034" spans="1:7" x14ac:dyDescent="0.25">
      <c r="A1034" s="1" t="s">
        <v>1249</v>
      </c>
      <c r="B1034" s="2" t="str">
        <f>HYPERLINK("https://www.elsevier.com/locate/issn/2468-7499", "European Journal of Trauma &amp; Dissociation")</f>
        <v>European Journal of Trauma &amp; Dissociation</v>
      </c>
      <c r="C1034" s="1" t="s">
        <v>10</v>
      </c>
      <c r="D1034" s="1">
        <v>2280</v>
      </c>
      <c r="E1034" s="1">
        <v>2080</v>
      </c>
      <c r="F1034" s="1">
        <v>1830</v>
      </c>
      <c r="G1034" s="1">
        <v>282790</v>
      </c>
    </row>
    <row r="1035" spans="1:7" x14ac:dyDescent="0.25">
      <c r="A1035" s="1" t="s">
        <v>1250</v>
      </c>
      <c r="B1035" s="2" t="str">
        <f>HYPERLINK("https://www.elsevier.com/locate/issn/1078-5884", "European Journal of Vascular and Endovascular Surgery")</f>
        <v>European Journal of Vascular and Endovascular Surgery</v>
      </c>
      <c r="C1035" s="1" t="s">
        <v>10</v>
      </c>
      <c r="D1035" s="1">
        <v>4000</v>
      </c>
      <c r="E1035" s="1">
        <v>3740</v>
      </c>
      <c r="F1035" s="1">
        <v>3200</v>
      </c>
      <c r="G1035" s="1">
        <v>496120</v>
      </c>
    </row>
    <row r="1036" spans="1:7" x14ac:dyDescent="0.25">
      <c r="A1036" s="1" t="s">
        <v>1251</v>
      </c>
      <c r="B1036" s="2" t="str">
        <f>HYPERLINK("https://www.elsevier.com/locate/issn/0263-2373", "European Management Journal")</f>
        <v>European Management Journal</v>
      </c>
      <c r="C1036" s="1" t="s">
        <v>10</v>
      </c>
      <c r="D1036" s="1">
        <v>2160</v>
      </c>
      <c r="E1036" s="1">
        <v>2020</v>
      </c>
      <c r="F1036" s="1">
        <v>1730</v>
      </c>
      <c r="G1036" s="1">
        <v>267900</v>
      </c>
    </row>
    <row r="1037" spans="1:7" x14ac:dyDescent="0.25">
      <c r="A1037" s="1" t="s">
        <v>1252</v>
      </c>
      <c r="B1037" s="2" t="str">
        <f>HYPERLINK("https://www.elsevier.com/locate/issn/0924-977X", "European Neuropsychopharmacology")</f>
        <v>European Neuropsychopharmacology</v>
      </c>
      <c r="C1037" s="1" t="s">
        <v>10</v>
      </c>
      <c r="D1037" s="1">
        <v>3000</v>
      </c>
      <c r="E1037" s="1">
        <v>2810</v>
      </c>
      <c r="F1037" s="1">
        <v>2400</v>
      </c>
      <c r="G1037" s="1">
        <v>372090</v>
      </c>
    </row>
    <row r="1038" spans="1:7" x14ac:dyDescent="0.25">
      <c r="A1038" s="1" t="s">
        <v>1253</v>
      </c>
      <c r="B1038" s="2" t="str">
        <f>HYPERLINK("https://www.elsevier.com/locate/issn/0014-3057", "European Polymer Journal")</f>
        <v>European Polymer Journal</v>
      </c>
      <c r="C1038" s="1" t="s">
        <v>10</v>
      </c>
      <c r="D1038" s="1">
        <v>4330</v>
      </c>
      <c r="E1038" s="1">
        <v>4050</v>
      </c>
      <c r="F1038" s="1">
        <v>3470</v>
      </c>
      <c r="G1038" s="1">
        <v>537050</v>
      </c>
    </row>
    <row r="1039" spans="1:7" x14ac:dyDescent="0.25">
      <c r="A1039" s="1" t="s">
        <v>1254</v>
      </c>
      <c r="B1039" s="2" t="str">
        <f>HYPERLINK("https://www.elsevier.com/locate/issn/2444-8834", "European Research on Management and Business Economics")</f>
        <v>European Research on Management and Business Economics</v>
      </c>
      <c r="C1039" s="1" t="s">
        <v>23</v>
      </c>
      <c r="D1039" s="1">
        <v>1350</v>
      </c>
      <c r="E1039" s="1">
        <v>1260</v>
      </c>
      <c r="F1039" s="1">
        <v>1080</v>
      </c>
      <c r="G1039" s="1">
        <v>167440</v>
      </c>
    </row>
    <row r="1040" spans="1:7" x14ac:dyDescent="0.25">
      <c r="A1040" s="1" t="s">
        <v>1255</v>
      </c>
      <c r="B1040" s="2" t="str">
        <f>HYPERLINK("https://www.elsevier.com/locate/issn/1162-9088", "Revue Européenne de Psychologie Appliquée")</f>
        <v>Revue Européenne de Psychologie Appliquée</v>
      </c>
      <c r="C1040" s="1" t="s">
        <v>10</v>
      </c>
      <c r="D1040" s="1">
        <v>3180</v>
      </c>
      <c r="E1040" s="1">
        <v>2900</v>
      </c>
      <c r="F1040" s="1">
        <v>2550</v>
      </c>
      <c r="G1040" s="1">
        <v>394420</v>
      </c>
    </row>
    <row r="1041" spans="1:7" x14ac:dyDescent="0.25">
      <c r="A1041" s="1" t="s">
        <v>1256</v>
      </c>
      <c r="B1041" s="2" t="str">
        <f>HYPERLINK("https://www.elsevier.com/locate/issn/2950-2985", "European Transport Studies")</f>
        <v>European Transport Studies</v>
      </c>
      <c r="C1041" s="1" t="s">
        <v>23</v>
      </c>
      <c r="D1041" s="1">
        <v>1100</v>
      </c>
      <c r="E1041" s="1">
        <v>1030</v>
      </c>
      <c r="F1041" s="1">
        <v>880</v>
      </c>
      <c r="G1041" s="1">
        <v>136430</v>
      </c>
    </row>
    <row r="1042" spans="1:7" x14ac:dyDescent="0.25">
      <c r="A1042" s="1" t="s">
        <v>1257</v>
      </c>
      <c r="B1042" s="2" t="str">
        <f>HYPERLINK("https://www.elsevier.com/locate/issn/0302-2838", "European Urology")</f>
        <v>European Urology</v>
      </c>
      <c r="C1042" s="1" t="s">
        <v>10</v>
      </c>
      <c r="D1042" s="1">
        <v>5250</v>
      </c>
      <c r="E1042" s="1">
        <v>4910</v>
      </c>
      <c r="F1042" s="1">
        <v>4200</v>
      </c>
      <c r="G1042" s="1">
        <v>651160</v>
      </c>
    </row>
    <row r="1043" spans="1:7" x14ac:dyDescent="0.25">
      <c r="A1043" s="1" t="s">
        <v>1258</v>
      </c>
      <c r="B1043" s="2" t="str">
        <f>HYPERLINK("https://www.elsevier.com/locate/issn/2405-4569", "European Urology Focus")</f>
        <v>European Urology Focus</v>
      </c>
      <c r="C1043" s="1" t="s">
        <v>10</v>
      </c>
      <c r="D1043" s="1">
        <v>3800</v>
      </c>
      <c r="E1043" s="1">
        <v>3550</v>
      </c>
      <c r="F1043" s="1">
        <v>3040</v>
      </c>
      <c r="G1043" s="1">
        <v>471310</v>
      </c>
    </row>
    <row r="1044" spans="1:7" x14ac:dyDescent="0.25">
      <c r="A1044" s="1" t="s">
        <v>1259</v>
      </c>
      <c r="B1044" s="2" t="str">
        <f>HYPERLINK("https://www.elsevier.com/locate/issn/2588-9311", "European Urology Oncology")</f>
        <v>European Urology Oncology</v>
      </c>
      <c r="C1044" s="1" t="s">
        <v>10</v>
      </c>
      <c r="D1044" s="1">
        <v>3790</v>
      </c>
      <c r="E1044" s="1">
        <v>3550</v>
      </c>
      <c r="F1044" s="1">
        <v>3030</v>
      </c>
      <c r="G1044" s="1">
        <v>470070</v>
      </c>
    </row>
    <row r="1045" spans="1:7" x14ac:dyDescent="0.25">
      <c r="A1045" s="1" t="s">
        <v>1260</v>
      </c>
      <c r="B1045" s="2" t="str">
        <f>HYPERLINK("https://www.elsevier.com/locate/issn/2666-1683", "European Urology Open Science")</f>
        <v>European Urology Open Science</v>
      </c>
      <c r="C1045" s="1" t="s">
        <v>23</v>
      </c>
      <c r="D1045" s="1">
        <v>1800</v>
      </c>
      <c r="E1045" s="1">
        <v>1680</v>
      </c>
      <c r="F1045" s="1">
        <v>1440</v>
      </c>
      <c r="G1045" s="1">
        <v>223250</v>
      </c>
    </row>
    <row r="1046" spans="1:7" x14ac:dyDescent="0.25">
      <c r="A1046" s="1" t="s">
        <v>1261</v>
      </c>
      <c r="B1046" s="2" t="str">
        <f>HYPERLINK("https://www.elsevier.com/locate/issn/0149-7189", "Evaluation and Program Planning")</f>
        <v>Evaluation and Program Planning</v>
      </c>
      <c r="C1046" s="1" t="s">
        <v>10</v>
      </c>
      <c r="D1046" s="1">
        <v>3370</v>
      </c>
      <c r="E1046" s="1">
        <v>3150</v>
      </c>
      <c r="F1046" s="1">
        <v>2700</v>
      </c>
      <c r="G1046" s="1">
        <v>417980</v>
      </c>
    </row>
    <row r="1047" spans="1:7" x14ac:dyDescent="0.25">
      <c r="A1047" s="1" t="s">
        <v>1262</v>
      </c>
      <c r="B1047" s="2" t="str">
        <f>HYPERLINK("https://www.elsevier.com/locate/issn/1090-5138", "Evolution and Human Behavior")</f>
        <v>Evolution and Human Behavior</v>
      </c>
      <c r="C1047" s="1" t="s">
        <v>10</v>
      </c>
      <c r="D1047" s="1">
        <v>4330</v>
      </c>
      <c r="E1047" s="1">
        <v>4050</v>
      </c>
      <c r="F1047" s="1">
        <v>3470</v>
      </c>
      <c r="G1047" s="1">
        <v>537050</v>
      </c>
    </row>
    <row r="1048" spans="1:7" x14ac:dyDescent="0.25">
      <c r="A1048" s="1" t="s">
        <v>1263</v>
      </c>
      <c r="B1048" s="2" t="str">
        <f>HYPERLINK("https://www.elsevier.com/locate/issn/2950-1172", "Evolving Earth")</f>
        <v>Evolving Earth</v>
      </c>
      <c r="C1048" s="1" t="s">
        <v>23</v>
      </c>
      <c r="D1048" s="1">
        <v>2050</v>
      </c>
      <c r="E1048" s="1">
        <v>1920</v>
      </c>
      <c r="F1048" s="1">
        <v>1640</v>
      </c>
      <c r="G1048" s="1">
        <v>254260</v>
      </c>
    </row>
    <row r="1049" spans="1:7" x14ac:dyDescent="0.25">
      <c r="A1049" s="1" t="s">
        <v>1264</v>
      </c>
      <c r="B1049" s="2" t="str">
        <f>HYPERLINK("https://www.elsevier.com/locate/issn/2666-657X", "Examples and Counterexamples")</f>
        <v>Examples and Counterexamples</v>
      </c>
      <c r="C1049" s="1" t="s">
        <v>23</v>
      </c>
      <c r="D1049" s="1">
        <v>420</v>
      </c>
      <c r="E1049" s="1">
        <v>390</v>
      </c>
      <c r="F1049" s="1">
        <v>340</v>
      </c>
      <c r="G1049" s="1">
        <v>52090</v>
      </c>
    </row>
    <row r="1050" spans="1:7" x14ac:dyDescent="0.25">
      <c r="A1050" s="1" t="s">
        <v>1265</v>
      </c>
      <c r="B1050" s="2" t="str">
        <f>HYPERLINK("https://www.elsevier.com/locate/issn/0014-4800", "Experimental and Molecular Pathology")</f>
        <v>Experimental and Molecular Pathology</v>
      </c>
      <c r="C1050" s="1" t="s">
        <v>23</v>
      </c>
      <c r="D1050" s="1">
        <v>2640</v>
      </c>
      <c r="E1050" s="1">
        <v>2470</v>
      </c>
      <c r="F1050" s="1">
        <v>2110</v>
      </c>
      <c r="G1050" s="1">
        <v>327440</v>
      </c>
    </row>
    <row r="1051" spans="1:7" x14ac:dyDescent="0.25">
      <c r="A1051" s="1" t="s">
        <v>1266</v>
      </c>
      <c r="B1051" s="2" t="str">
        <f>HYPERLINK("https://www.elsevier.com/locate/issn/0014-4827", "Experimental Cell Research")</f>
        <v>Experimental Cell Research</v>
      </c>
      <c r="C1051" s="1" t="s">
        <v>10</v>
      </c>
      <c r="D1051" s="1">
        <v>3270</v>
      </c>
      <c r="E1051" s="1">
        <v>3060</v>
      </c>
      <c r="F1051" s="1">
        <v>2620</v>
      </c>
      <c r="G1051" s="1">
        <v>405580</v>
      </c>
    </row>
    <row r="1052" spans="1:7" x14ac:dyDescent="0.25">
      <c r="A1052" s="1" t="s">
        <v>1267</v>
      </c>
      <c r="B1052" s="2" t="str">
        <f>HYPERLINK("https://www.elsevier.com/locate/issn/0014-4835", "Experimental Eye Research")</f>
        <v>Experimental Eye Research</v>
      </c>
      <c r="C1052" s="1" t="s">
        <v>10</v>
      </c>
      <c r="D1052" s="1">
        <v>4010</v>
      </c>
      <c r="E1052" s="1">
        <v>3750</v>
      </c>
      <c r="F1052" s="1">
        <v>3210</v>
      </c>
      <c r="G1052" s="1">
        <v>497360</v>
      </c>
    </row>
    <row r="1053" spans="1:7" x14ac:dyDescent="0.25">
      <c r="A1053" s="1" t="s">
        <v>1268</v>
      </c>
      <c r="B1053" s="2" t="str">
        <f>HYPERLINK("https://www.elsevier.com/locate/issn/0531-5565", "Experimental Gerontology")</f>
        <v>Experimental Gerontology</v>
      </c>
      <c r="C1053" s="1" t="s">
        <v>23</v>
      </c>
      <c r="D1053" s="1">
        <v>3400</v>
      </c>
      <c r="E1053" s="1">
        <v>3180</v>
      </c>
      <c r="F1053" s="1">
        <v>2720</v>
      </c>
      <c r="G1053" s="1">
        <v>421700</v>
      </c>
    </row>
    <row r="1054" spans="1:7" x14ac:dyDescent="0.25">
      <c r="A1054" s="1" t="s">
        <v>1269</v>
      </c>
      <c r="B1054" s="2" t="str">
        <f>HYPERLINK("https://www.elsevier.com/locate/issn/0301-472X", "Experimental Hematology")</f>
        <v>Experimental Hematology</v>
      </c>
      <c r="C1054" s="1" t="s">
        <v>10</v>
      </c>
      <c r="D1054" s="1">
        <v>3250</v>
      </c>
      <c r="E1054" s="1">
        <v>3040</v>
      </c>
      <c r="F1054" s="1">
        <v>2600</v>
      </c>
      <c r="G1054" s="1">
        <v>403100</v>
      </c>
    </row>
    <row r="1055" spans="1:7" x14ac:dyDescent="0.25">
      <c r="A1055" s="1" t="s">
        <v>1270</v>
      </c>
      <c r="B1055" s="2" t="str">
        <f>HYPERLINK("https://www.elsevier.com/locate/issn/0014-4886", "Experimental Neurology")</f>
        <v>Experimental Neurology</v>
      </c>
      <c r="C1055" s="1" t="s">
        <v>10</v>
      </c>
      <c r="D1055" s="1">
        <v>4110</v>
      </c>
      <c r="E1055" s="1">
        <v>3840</v>
      </c>
      <c r="F1055" s="1">
        <v>3290</v>
      </c>
      <c r="G1055" s="1">
        <v>509760</v>
      </c>
    </row>
    <row r="1056" spans="1:7" x14ac:dyDescent="0.25">
      <c r="A1056" s="1" t="s">
        <v>1271</v>
      </c>
      <c r="B1056" s="2" t="str">
        <f>HYPERLINK("https://www.elsevier.com/locate/issn/0014-4894", "Experimental Parasitology")</f>
        <v>Experimental Parasitology</v>
      </c>
      <c r="C1056" s="1" t="s">
        <v>10</v>
      </c>
      <c r="D1056" s="1">
        <v>3470</v>
      </c>
      <c r="E1056" s="1">
        <v>3250</v>
      </c>
      <c r="F1056" s="1">
        <v>2780</v>
      </c>
      <c r="G1056" s="1">
        <v>430380</v>
      </c>
    </row>
    <row r="1057" spans="1:7" x14ac:dyDescent="0.25">
      <c r="A1057" s="1" t="s">
        <v>1272</v>
      </c>
      <c r="B1057" s="2" t="str">
        <f>HYPERLINK("https://www.elsevier.com/locate/issn/0894-1777", "Experimental Thermal and Fluid Science")</f>
        <v>Experimental Thermal and Fluid Science</v>
      </c>
      <c r="C1057" s="1" t="s">
        <v>10</v>
      </c>
      <c r="D1057" s="1">
        <v>3720</v>
      </c>
      <c r="E1057" s="1">
        <v>3480</v>
      </c>
      <c r="F1057" s="1">
        <v>2980</v>
      </c>
      <c r="G1057" s="1">
        <v>461390</v>
      </c>
    </row>
    <row r="1058" spans="1:7" x14ac:dyDescent="0.25">
      <c r="A1058" s="1" t="s">
        <v>1273</v>
      </c>
      <c r="B1058" s="2" t="str">
        <f>HYPERLINK("https://www.elsevier.com/locate/issn/0957-4174", "Expert Systems with Applications")</f>
        <v>Expert Systems with Applications</v>
      </c>
      <c r="C1058" s="1" t="s">
        <v>10</v>
      </c>
      <c r="D1058" s="1">
        <v>3500</v>
      </c>
      <c r="E1058" s="1">
        <v>3270</v>
      </c>
      <c r="F1058" s="1">
        <v>2800</v>
      </c>
      <c r="G1058" s="1">
        <v>434110</v>
      </c>
    </row>
    <row r="1059" spans="1:7" x14ac:dyDescent="0.25">
      <c r="A1059" s="1" t="s">
        <v>1274</v>
      </c>
      <c r="B1059" s="2" t="str">
        <f>HYPERLINK("https://www.elsevier.com/locate/issn/0014-4983", "Explorations in Economic History")</f>
        <v>Explorations in Economic History</v>
      </c>
      <c r="C1059" s="1" t="s">
        <v>10</v>
      </c>
      <c r="D1059" s="1">
        <v>3280</v>
      </c>
      <c r="E1059" s="1">
        <v>3070</v>
      </c>
      <c r="F1059" s="1">
        <v>2630</v>
      </c>
      <c r="G1059" s="1">
        <v>406820</v>
      </c>
    </row>
    <row r="1060" spans="1:7" x14ac:dyDescent="0.25">
      <c r="A1060" s="1" t="s">
        <v>1275</v>
      </c>
      <c r="B1060" s="2" t="str">
        <f>HYPERLINK("https://www.elsevier.com/locate/issn/2667-2766", "Exploratory Research in Clinical and Social Pharmacy")</f>
        <v>Exploratory Research in Clinical and Social Pharmacy</v>
      </c>
      <c r="C1060" s="1" t="s">
        <v>23</v>
      </c>
      <c r="D1060" s="1">
        <v>2140</v>
      </c>
      <c r="E1060" s="1">
        <v>2000</v>
      </c>
      <c r="F1060" s="1">
        <v>1710</v>
      </c>
      <c r="G1060" s="1">
        <v>265420</v>
      </c>
    </row>
    <row r="1061" spans="1:7" x14ac:dyDescent="0.25">
      <c r="A1061" s="1" t="s">
        <v>1276</v>
      </c>
      <c r="B1061" s="2" t="str">
        <f>HYPERLINK("https://www.elsevier.com/locate/issn/1550-8307", "EXPLORE")</f>
        <v>EXPLORE</v>
      </c>
      <c r="C1061" s="1" t="s">
        <v>10</v>
      </c>
      <c r="D1061" s="1">
        <v>2090</v>
      </c>
      <c r="E1061" s="1">
        <v>1960</v>
      </c>
      <c r="F1061" s="1">
        <v>1670</v>
      </c>
      <c r="G1061" s="1">
        <v>259220</v>
      </c>
    </row>
    <row r="1062" spans="1:7" x14ac:dyDescent="0.25">
      <c r="A1062" s="1" t="s">
        <v>1277</v>
      </c>
      <c r="B1062" s="2" t="str">
        <f>HYPERLINK("https://www.elsevier.com/locate/issn/0723-0869", "Expositiones Mathematicae")</f>
        <v>Expositiones Mathematicae</v>
      </c>
      <c r="C1062" s="1" t="s">
        <v>10</v>
      </c>
      <c r="D1062" s="1">
        <v>3500</v>
      </c>
      <c r="E1062" s="1">
        <v>3270</v>
      </c>
      <c r="F1062" s="1">
        <v>2800</v>
      </c>
      <c r="G1062" s="1">
        <v>434110</v>
      </c>
    </row>
    <row r="1063" spans="1:7" x14ac:dyDescent="0.25">
      <c r="A1063" s="1" t="s">
        <v>1278</v>
      </c>
      <c r="B1063" s="2" t="str">
        <f>HYPERLINK("https://www.elsevier.com/locate/issn/2773-0417", "Extracellular Vesicle")</f>
        <v>Extracellular Vesicle</v>
      </c>
      <c r="C1063" s="1" t="s">
        <v>23</v>
      </c>
      <c r="D1063" s="1">
        <v>2800</v>
      </c>
      <c r="E1063" s="1">
        <v>2620</v>
      </c>
      <c r="F1063" s="1">
        <v>2240</v>
      </c>
      <c r="G1063" s="1">
        <v>347280</v>
      </c>
    </row>
    <row r="1064" spans="1:7" x14ac:dyDescent="0.25">
      <c r="A1064" s="1" t="s">
        <v>1279</v>
      </c>
      <c r="B1064" s="2" t="str">
        <f>HYPERLINK("https://www.elsevier.com/locate/issn/3050-628X", "Extreme Materials")</f>
        <v>Extreme Materials</v>
      </c>
      <c r="C1064" s="1" t="s">
        <v>34</v>
      </c>
      <c r="D1064" s="1" t="s">
        <v>324</v>
      </c>
      <c r="E1064" s="1" t="s">
        <v>324</v>
      </c>
      <c r="F1064" s="1" t="s">
        <v>324</v>
      </c>
      <c r="G1064" s="1" t="s">
        <v>324</v>
      </c>
    </row>
    <row r="1065" spans="1:7" x14ac:dyDescent="0.25">
      <c r="A1065" s="1" t="s">
        <v>1280</v>
      </c>
      <c r="B1065" s="2" t="str">
        <f>HYPERLINK("https://www.elsevier.com/locate/issn/2352-4316", "Extreme Mechanics Letters")</f>
        <v>Extreme Mechanics Letters</v>
      </c>
      <c r="C1065" s="1" t="s">
        <v>10</v>
      </c>
      <c r="D1065" s="1">
        <v>3940</v>
      </c>
      <c r="E1065" s="1">
        <v>3690</v>
      </c>
      <c r="F1065" s="1">
        <v>3150</v>
      </c>
      <c r="G1065" s="1">
        <v>488680</v>
      </c>
    </row>
    <row r="1066" spans="1:7" x14ac:dyDescent="0.25">
      <c r="A1066" s="1" t="s">
        <v>1281</v>
      </c>
      <c r="B1066" s="2" t="str">
        <f>HYPERLINK("https://www.elsevier.com/locate/issn/2666-3341", "F&amp;S Reports")</f>
        <v>F&amp;S Reports</v>
      </c>
      <c r="C1066" s="1" t="s">
        <v>23</v>
      </c>
      <c r="D1066" s="1">
        <v>2000</v>
      </c>
      <c r="E1066" s="1">
        <v>1870</v>
      </c>
      <c r="F1066" s="1">
        <v>1600</v>
      </c>
      <c r="G1066" s="1">
        <v>248060</v>
      </c>
    </row>
    <row r="1067" spans="1:7" x14ac:dyDescent="0.25">
      <c r="A1067" s="1" t="s">
        <v>1282</v>
      </c>
      <c r="B1067" s="2" t="str">
        <f>HYPERLINK("https://www.elsevier.com/locate/issn/2666-5719", "F&amp;S Reviews")</f>
        <v>F&amp;S Reviews</v>
      </c>
      <c r="C1067" s="1" t="s">
        <v>10</v>
      </c>
      <c r="D1067" s="1">
        <v>3500</v>
      </c>
      <c r="E1067" s="1">
        <v>3270</v>
      </c>
      <c r="F1067" s="1">
        <v>2800</v>
      </c>
      <c r="G1067" s="1">
        <v>434110</v>
      </c>
    </row>
    <row r="1068" spans="1:7" x14ac:dyDescent="0.25">
      <c r="A1068" s="1" t="s">
        <v>1283</v>
      </c>
      <c r="B1068" s="2" t="str">
        <f>HYPERLINK("https://www.elsevier.com/locate/issn/2666-335X", "F&amp;S Science")</f>
        <v>F&amp;S Science</v>
      </c>
      <c r="C1068" s="1" t="s">
        <v>10</v>
      </c>
      <c r="D1068" s="1">
        <v>3500</v>
      </c>
      <c r="E1068" s="1">
        <v>3270</v>
      </c>
      <c r="F1068" s="1">
        <v>2800</v>
      </c>
      <c r="G1068" s="1">
        <v>434110</v>
      </c>
    </row>
    <row r="1069" spans="1:7" x14ac:dyDescent="0.25">
      <c r="A1069" s="1" t="s">
        <v>1284</v>
      </c>
      <c r="B1069" s="2" t="str">
        <f>HYPERLINK("https://www.elsevier.com/locate/issn/2949-9119", "Farming System")</f>
        <v>Farming System</v>
      </c>
      <c r="C1069" s="1" t="s">
        <v>23</v>
      </c>
      <c r="D1069" s="1">
        <v>1800</v>
      </c>
      <c r="E1069" s="1">
        <v>1680</v>
      </c>
      <c r="F1069" s="1">
        <v>1440</v>
      </c>
      <c r="G1069" s="1">
        <v>223250</v>
      </c>
    </row>
    <row r="1070" spans="1:7" x14ac:dyDescent="0.25">
      <c r="A1070" s="1" t="s">
        <v>1285</v>
      </c>
      <c r="B1070" s="2" t="str">
        <f>HYPERLINK("https://www.elsevier.com/locate/issn/3051-231X", "Fermented Foods")</f>
        <v>Fermented Foods</v>
      </c>
      <c r="C1070" s="1" t="s">
        <v>23</v>
      </c>
      <c r="D1070" s="1">
        <v>2100</v>
      </c>
      <c r="E1070" s="1">
        <v>1960</v>
      </c>
      <c r="F1070" s="1">
        <v>1680</v>
      </c>
      <c r="G1070" s="1">
        <v>260460</v>
      </c>
    </row>
    <row r="1071" spans="1:7" x14ac:dyDescent="0.25">
      <c r="A1071" s="1" t="s">
        <v>1286</v>
      </c>
      <c r="B1071" s="2" t="str">
        <f>HYPERLINK("https://www.elsevier.com/locate/issn/0015-0282", "Fertility and Sterility")</f>
        <v>Fertility and Sterility</v>
      </c>
      <c r="C1071" s="1" t="s">
        <v>10</v>
      </c>
      <c r="D1071" s="1">
        <v>4420</v>
      </c>
      <c r="E1071" s="1">
        <v>4130</v>
      </c>
      <c r="F1071" s="1">
        <v>3540</v>
      </c>
      <c r="G1071" s="1">
        <v>548210</v>
      </c>
    </row>
    <row r="1072" spans="1:7" x14ac:dyDescent="0.25">
      <c r="A1072" s="1" t="s">
        <v>1287</v>
      </c>
      <c r="B1072" s="2" t="str">
        <f>HYPERLINK("https://www.elsevier.com/locate/issn/0378-4290", "Field Crops Research")</f>
        <v>Field Crops Research</v>
      </c>
      <c r="C1072" s="1" t="s">
        <v>10</v>
      </c>
      <c r="D1072" s="1">
        <v>3680</v>
      </c>
      <c r="E1072" s="1">
        <v>3440</v>
      </c>
      <c r="F1072" s="1">
        <v>2950</v>
      </c>
      <c r="G1072" s="1">
        <v>456430</v>
      </c>
    </row>
    <row r="1073" spans="1:7" x14ac:dyDescent="0.25">
      <c r="A1073" s="1" t="s">
        <v>1288</v>
      </c>
      <c r="B1073" s="2" t="str">
        <f>HYPERLINK("https://www.elsevier.com/locate/issn/1544-6123", "Finance Research Letters")</f>
        <v>Finance Research Letters</v>
      </c>
      <c r="C1073" s="1" t="s">
        <v>10</v>
      </c>
      <c r="D1073" s="1">
        <v>3730</v>
      </c>
      <c r="E1073" s="1">
        <v>3490</v>
      </c>
      <c r="F1073" s="1">
        <v>2990</v>
      </c>
      <c r="G1073" s="1">
        <v>462630</v>
      </c>
    </row>
    <row r="1074" spans="1:7" x14ac:dyDescent="0.25">
      <c r="A1074" s="1" t="s">
        <v>1289</v>
      </c>
      <c r="B1074" s="2" t="str">
        <f>HYPERLINK("https://www.elsevier.com/locate/issn/3050-7006", "Finance Research Open")</f>
        <v>Finance Research Open</v>
      </c>
      <c r="C1074" s="1" t="s">
        <v>23</v>
      </c>
      <c r="D1074" s="1">
        <v>1000</v>
      </c>
      <c r="E1074" s="1">
        <v>940</v>
      </c>
      <c r="F1074" s="1">
        <v>800</v>
      </c>
      <c r="G1074" s="1">
        <v>124030</v>
      </c>
    </row>
    <row r="1075" spans="1:7" x14ac:dyDescent="0.25">
      <c r="A1075" s="1" t="s">
        <v>1290</v>
      </c>
      <c r="B1075" s="2" t="str">
        <f>HYPERLINK("https://www.elsevier.com/locate/issn/0168-874X", "Finite Elements in Analysis and Design")</f>
        <v>Finite Elements in Analysis and Design</v>
      </c>
      <c r="C1075" s="1" t="s">
        <v>10</v>
      </c>
      <c r="D1075" s="1">
        <v>2990</v>
      </c>
      <c r="E1075" s="1">
        <v>2800</v>
      </c>
      <c r="F1075" s="1">
        <v>2390</v>
      </c>
      <c r="G1075" s="1">
        <v>370850</v>
      </c>
    </row>
    <row r="1076" spans="1:7" x14ac:dyDescent="0.25">
      <c r="A1076" s="1" t="s">
        <v>1291</v>
      </c>
      <c r="B1076" s="2" t="str">
        <f>HYPERLINK("https://www.elsevier.com/locate/issn/1071-5797", "Finite Fields and Their Applications")</f>
        <v>Finite Fields and Their Applications</v>
      </c>
      <c r="C1076" s="1" t="s">
        <v>10</v>
      </c>
      <c r="D1076" s="1">
        <v>2720</v>
      </c>
      <c r="E1076" s="1">
        <v>2540</v>
      </c>
      <c r="F1076" s="1">
        <v>2180</v>
      </c>
      <c r="G1076" s="1">
        <v>337360</v>
      </c>
    </row>
    <row r="1077" spans="1:7" x14ac:dyDescent="0.25">
      <c r="A1077" s="1" t="s">
        <v>1292</v>
      </c>
      <c r="B1077" s="2" t="str">
        <f>HYPERLINK("https://www.elsevier.com/locate/issn/0379-7112", "Fire Safety Journal")</f>
        <v>Fire Safety Journal</v>
      </c>
      <c r="C1077" s="1" t="s">
        <v>10</v>
      </c>
      <c r="D1077" s="1">
        <v>3770</v>
      </c>
      <c r="E1077" s="1">
        <v>3530</v>
      </c>
      <c r="F1077" s="1">
        <v>3020</v>
      </c>
      <c r="G1077" s="1">
        <v>467590</v>
      </c>
    </row>
    <row r="1078" spans="1:7" x14ac:dyDescent="0.25">
      <c r="A1078" s="1" t="s">
        <v>1293</v>
      </c>
      <c r="B1078" s="2" t="str">
        <f>HYPERLINK("https://www.elsevier.com/locate/issn/2667-1344", "FirePhysChem")</f>
        <v>FirePhysChem</v>
      </c>
      <c r="C1078" s="1" t="s">
        <v>34</v>
      </c>
      <c r="D1078" s="1" t="s">
        <v>324</v>
      </c>
      <c r="E1078" s="1" t="s">
        <v>324</v>
      </c>
      <c r="F1078" s="1" t="s">
        <v>324</v>
      </c>
      <c r="G1078" s="1" t="s">
        <v>324</v>
      </c>
    </row>
    <row r="1079" spans="1:7" x14ac:dyDescent="0.25">
      <c r="A1079" s="1" t="s">
        <v>1294</v>
      </c>
      <c r="B1079" s="2" t="str">
        <f>HYPERLINK("https://www.elsevier.com/locate/issn/2949-8406", "First Nations Health and Wellbeing - The Lowitja Journal")</f>
        <v>First Nations Health and Wellbeing - The Lowitja Journal</v>
      </c>
      <c r="C1079" s="1" t="s">
        <v>23</v>
      </c>
      <c r="D1079" s="1">
        <v>500</v>
      </c>
      <c r="E1079" s="1">
        <v>470</v>
      </c>
      <c r="F1079" s="1">
        <v>400</v>
      </c>
      <c r="G1079" s="1">
        <v>62020</v>
      </c>
    </row>
    <row r="1080" spans="1:7" x14ac:dyDescent="0.25">
      <c r="A1080" s="1" t="s">
        <v>1295</v>
      </c>
      <c r="B1080" s="2" t="str">
        <f>HYPERLINK("https://www.elsevier.com/locate/issn/1050-4648", "Fish &amp; Shellfish Immunology")</f>
        <v>Fish &amp; Shellfish Immunology</v>
      </c>
      <c r="C1080" s="1" t="s">
        <v>10</v>
      </c>
      <c r="D1080" s="1">
        <v>4330</v>
      </c>
      <c r="E1080" s="1">
        <v>4050</v>
      </c>
      <c r="F1080" s="1">
        <v>3470</v>
      </c>
      <c r="G1080" s="1">
        <v>537050</v>
      </c>
    </row>
    <row r="1081" spans="1:7" x14ac:dyDescent="0.25">
      <c r="A1081" s="1" t="s">
        <v>1296</v>
      </c>
      <c r="B1081" s="2" t="str">
        <f>HYPERLINK("https://www.elsevier.com/locate/issn/0165-7836", "Fisheries Research")</f>
        <v>Fisheries Research</v>
      </c>
      <c r="C1081" s="1" t="s">
        <v>10</v>
      </c>
      <c r="D1081" s="1">
        <v>3680</v>
      </c>
      <c r="E1081" s="1">
        <v>3440</v>
      </c>
      <c r="F1081" s="1">
        <v>2950</v>
      </c>
      <c r="G1081" s="1">
        <v>456430</v>
      </c>
    </row>
    <row r="1082" spans="1:7" x14ac:dyDescent="0.25">
      <c r="A1082" s="1" t="s">
        <v>1297</v>
      </c>
      <c r="B1082" s="2" t="str">
        <f>HYPERLINK("https://www.elsevier.com/locate/issn/0211-5638", "Fisioterapia")</f>
        <v>Fisioterapia</v>
      </c>
      <c r="C1082" s="1" t="s">
        <v>10</v>
      </c>
      <c r="D1082" s="1">
        <v>2560</v>
      </c>
      <c r="E1082" s="1">
        <v>2390</v>
      </c>
      <c r="F1082" s="1">
        <v>2050</v>
      </c>
      <c r="G1082" s="1">
        <v>317520</v>
      </c>
    </row>
    <row r="1083" spans="1:7" x14ac:dyDescent="0.25">
      <c r="A1083" s="1" t="s">
        <v>1298</v>
      </c>
      <c r="B1083" s="2" t="str">
        <f>HYPERLINK("https://www.elsevier.com/locate/issn/0367-326X", "Fitoterapia")</f>
        <v>Fitoterapia</v>
      </c>
      <c r="C1083" s="1" t="s">
        <v>10</v>
      </c>
      <c r="D1083" s="1">
        <v>3950</v>
      </c>
      <c r="E1083" s="1">
        <v>3700</v>
      </c>
      <c r="F1083" s="1">
        <v>3160</v>
      </c>
      <c r="G1083" s="1">
        <v>489920</v>
      </c>
    </row>
    <row r="1084" spans="1:7" x14ac:dyDescent="0.25">
      <c r="A1084" s="1" t="s">
        <v>1299</v>
      </c>
      <c r="B1084" s="2" t="str">
        <f>HYPERLINK("https://www.elsevier.com/locate/issn/2452-2627", "FlatChem")</f>
        <v>FlatChem</v>
      </c>
      <c r="C1084" s="1" t="s">
        <v>10</v>
      </c>
      <c r="D1084" s="1">
        <v>3140</v>
      </c>
      <c r="E1084" s="1">
        <v>2940</v>
      </c>
      <c r="F1084" s="1">
        <v>2510</v>
      </c>
      <c r="G1084" s="1">
        <v>389450</v>
      </c>
    </row>
    <row r="1085" spans="1:7" x14ac:dyDescent="0.25">
      <c r="A1085" s="1" t="s">
        <v>1300</v>
      </c>
      <c r="B1085" s="2" t="str">
        <f>HYPERLINK("https://www.elsevier.com/locate/issn/0367-2530", "Flora")</f>
        <v>Flora</v>
      </c>
      <c r="C1085" s="1" t="s">
        <v>10</v>
      </c>
      <c r="D1085" s="1">
        <v>2900</v>
      </c>
      <c r="E1085" s="1">
        <v>2710</v>
      </c>
      <c r="F1085" s="1">
        <v>2320</v>
      </c>
      <c r="G1085" s="1">
        <v>359690</v>
      </c>
    </row>
    <row r="1086" spans="1:7" x14ac:dyDescent="0.25">
      <c r="A1086" s="1" t="s">
        <v>1301</v>
      </c>
      <c r="B1086" s="2" t="str">
        <f>HYPERLINK("https://www.elsevier.com/locate/issn/0955-5986", "Flow Measurement and Instrumentation")</f>
        <v>Flow Measurement and Instrumentation</v>
      </c>
      <c r="C1086" s="1" t="s">
        <v>10</v>
      </c>
      <c r="D1086" s="1">
        <v>3080</v>
      </c>
      <c r="E1086" s="1">
        <v>2880</v>
      </c>
      <c r="F1086" s="1">
        <v>2470</v>
      </c>
      <c r="G1086" s="1">
        <v>382010</v>
      </c>
    </row>
    <row r="1087" spans="1:7" x14ac:dyDescent="0.25">
      <c r="A1087" s="1" t="s">
        <v>1302</v>
      </c>
      <c r="B1087" s="2" t="str">
        <f>HYPERLINK("https://www.elsevier.com/locate/issn/0378-3812", "Fluid Phase Equilibria")</f>
        <v>Fluid Phase Equilibria</v>
      </c>
      <c r="C1087" s="1" t="s">
        <v>10</v>
      </c>
      <c r="D1087" s="1">
        <v>3630</v>
      </c>
      <c r="E1087" s="1">
        <v>3400</v>
      </c>
      <c r="F1087" s="1">
        <v>2910</v>
      </c>
      <c r="G1087" s="1">
        <v>450230</v>
      </c>
    </row>
    <row r="1088" spans="1:7" x14ac:dyDescent="0.25">
      <c r="A1088" s="1" t="s">
        <v>1303</v>
      </c>
      <c r="B1088" s="2" t="str">
        <f>HYPERLINK("https://www.elsevier.com/locate/issn/0960-3085", "Food and Bioproducts Processing")</f>
        <v>Food and Bioproducts Processing</v>
      </c>
      <c r="C1088" s="1" t="s">
        <v>10</v>
      </c>
      <c r="D1088" s="1">
        <v>3970</v>
      </c>
      <c r="E1088" s="1">
        <v>3710</v>
      </c>
      <c r="F1088" s="1">
        <v>3180</v>
      </c>
      <c r="G1088" s="1">
        <v>492400</v>
      </c>
    </row>
    <row r="1089" spans="1:7" x14ac:dyDescent="0.25">
      <c r="A1089" s="1" t="s">
        <v>1304</v>
      </c>
      <c r="B1089" s="2" t="str">
        <f>HYPERLINK("https://www.elsevier.com/locate/issn/0278-6915", "Food and Chemical Toxicology")</f>
        <v>Food and Chemical Toxicology</v>
      </c>
      <c r="C1089" s="1" t="s">
        <v>10</v>
      </c>
      <c r="D1089" s="1">
        <v>4670</v>
      </c>
      <c r="E1089" s="1">
        <v>4370</v>
      </c>
      <c r="F1089" s="1">
        <v>3740</v>
      </c>
      <c r="G1089" s="1">
        <v>579220</v>
      </c>
    </row>
    <row r="1090" spans="1:7" x14ac:dyDescent="0.25">
      <c r="A1090" s="1" t="s">
        <v>1305</v>
      </c>
      <c r="B1090" s="2" t="str">
        <f>HYPERLINK("https://www.elsevier.com/locate/issn/2949-8244", "Food and Humanity")</f>
        <v>Food and Humanity</v>
      </c>
      <c r="C1090" s="1" t="s">
        <v>10</v>
      </c>
      <c r="D1090" s="1">
        <v>2990</v>
      </c>
      <c r="E1090" s="1">
        <v>2800</v>
      </c>
      <c r="F1090" s="1">
        <v>2390</v>
      </c>
      <c r="G1090" s="1">
        <v>370850</v>
      </c>
    </row>
    <row r="1091" spans="1:7" x14ac:dyDescent="0.25">
      <c r="A1091" s="1" t="s">
        <v>1306</v>
      </c>
      <c r="B1091" s="2" t="str">
        <f>HYPERLINK("https://www.elsevier.com/locate/issn/2405-6766", "Food and Waterborne Parasitology")</f>
        <v>Food and Waterborne Parasitology</v>
      </c>
      <c r="C1091" s="1" t="s">
        <v>23</v>
      </c>
      <c r="D1091" s="1">
        <v>2500</v>
      </c>
      <c r="E1091" s="1">
        <v>2340</v>
      </c>
      <c r="F1091" s="1">
        <v>2000</v>
      </c>
      <c r="G1091" s="1">
        <v>310080</v>
      </c>
    </row>
    <row r="1092" spans="1:7" x14ac:dyDescent="0.25">
      <c r="A1092" s="1" t="s">
        <v>1307</v>
      </c>
      <c r="B1092" s="2" t="str">
        <f>HYPERLINK("https://www.elsevier.com/locate/issn/2212-4292", "Food Bioscience")</f>
        <v>Food Bioscience</v>
      </c>
      <c r="C1092" s="1" t="s">
        <v>10</v>
      </c>
      <c r="D1092" s="1">
        <v>3380</v>
      </c>
      <c r="E1092" s="1">
        <v>3160</v>
      </c>
      <c r="F1092" s="1">
        <v>2710</v>
      </c>
      <c r="G1092" s="1">
        <v>419220</v>
      </c>
    </row>
    <row r="1093" spans="1:7" x14ac:dyDescent="0.25">
      <c r="A1093" s="1" t="s">
        <v>1308</v>
      </c>
      <c r="B1093" s="2" t="str">
        <f>HYPERLINK("https://www.elsevier.com/locate/issn/0308-8146", "Food Chemistry")</f>
        <v>Food Chemistry</v>
      </c>
      <c r="C1093" s="1" t="s">
        <v>10</v>
      </c>
      <c r="D1093" s="1">
        <v>4930</v>
      </c>
      <c r="E1093" s="1">
        <v>4610</v>
      </c>
      <c r="F1093" s="1">
        <v>3950</v>
      </c>
      <c r="G1093" s="1">
        <v>611470</v>
      </c>
    </row>
    <row r="1094" spans="1:7" x14ac:dyDescent="0.25">
      <c r="A1094" s="1" t="s">
        <v>1309</v>
      </c>
      <c r="B1094" s="2" t="str">
        <f>HYPERLINK("https://www.elsevier.com/locate/issn/2772-753X", "Food Chemistry Advances")</f>
        <v>Food Chemistry Advances</v>
      </c>
      <c r="C1094" s="1" t="s">
        <v>23</v>
      </c>
      <c r="D1094" s="1">
        <v>2080</v>
      </c>
      <c r="E1094" s="1">
        <v>1950</v>
      </c>
      <c r="F1094" s="1">
        <v>1670</v>
      </c>
      <c r="G1094" s="1">
        <v>257980</v>
      </c>
    </row>
    <row r="1095" spans="1:7" x14ac:dyDescent="0.25">
      <c r="A1095" s="1" t="s">
        <v>1310</v>
      </c>
      <c r="B1095" s="2" t="str">
        <f>HYPERLINK("https://www.elsevier.com/locate/issn/2666-5662", "Food Chemistry: Molecular Sciences")</f>
        <v>Food Chemistry: Molecular Sciences</v>
      </c>
      <c r="C1095" s="1" t="s">
        <v>23</v>
      </c>
      <c r="D1095" s="1">
        <v>2320</v>
      </c>
      <c r="E1095" s="1">
        <v>2170</v>
      </c>
      <c r="F1095" s="1">
        <v>1860</v>
      </c>
      <c r="G1095" s="1">
        <v>287750</v>
      </c>
    </row>
    <row r="1096" spans="1:7" x14ac:dyDescent="0.25">
      <c r="A1096" s="1" t="s">
        <v>1311</v>
      </c>
      <c r="B1096" s="2" t="str">
        <f>HYPERLINK("https://www.elsevier.com/locate/issn/2590-1575", "Food Chemistry: X")</f>
        <v>Food Chemistry: X</v>
      </c>
      <c r="C1096" s="1" t="s">
        <v>23</v>
      </c>
      <c r="D1096" s="1">
        <v>2330</v>
      </c>
      <c r="E1096" s="1">
        <v>2180</v>
      </c>
      <c r="F1096" s="1">
        <v>1870</v>
      </c>
      <c r="G1096" s="1">
        <v>288990</v>
      </c>
    </row>
    <row r="1097" spans="1:7" x14ac:dyDescent="0.25">
      <c r="A1097" s="1" t="s">
        <v>1312</v>
      </c>
      <c r="B1097" s="2" t="str">
        <f>HYPERLINK("https://www.elsevier.com/locate/issn/0956-7135", "Food Control")</f>
        <v>Food Control</v>
      </c>
      <c r="C1097" s="1" t="s">
        <v>10</v>
      </c>
      <c r="D1097" s="1">
        <v>4340</v>
      </c>
      <c r="E1097" s="1">
        <v>4060</v>
      </c>
      <c r="F1097" s="1">
        <v>3470</v>
      </c>
      <c r="G1097" s="1">
        <v>538290</v>
      </c>
    </row>
    <row r="1098" spans="1:7" x14ac:dyDescent="0.25">
      <c r="A1098" s="1" t="s">
        <v>1313</v>
      </c>
      <c r="B1098" s="2" t="str">
        <f>HYPERLINK("https://www.elsevier.com/locate/issn/0268-005X", "Food Hydrocolloids")</f>
        <v>Food Hydrocolloids</v>
      </c>
      <c r="C1098" s="1" t="s">
        <v>10</v>
      </c>
      <c r="D1098" s="1">
        <v>4990</v>
      </c>
      <c r="E1098" s="1">
        <v>4670</v>
      </c>
      <c r="F1098" s="1">
        <v>3990</v>
      </c>
      <c r="G1098" s="1">
        <v>618910</v>
      </c>
    </row>
    <row r="1099" spans="1:7" x14ac:dyDescent="0.25">
      <c r="A1099" s="1" t="s">
        <v>1314</v>
      </c>
      <c r="B1099" s="2" t="str">
        <f>HYPERLINK("https://www.elsevier.com/locate/issn/2667-0259", "Food Hydrocolloids for Health")</f>
        <v>Food Hydrocolloids for Health</v>
      </c>
      <c r="C1099" s="1" t="s">
        <v>23</v>
      </c>
      <c r="D1099" s="1">
        <v>2300</v>
      </c>
      <c r="E1099" s="1">
        <v>2150</v>
      </c>
      <c r="F1099" s="1">
        <v>1840</v>
      </c>
      <c r="G1099" s="1">
        <v>285270</v>
      </c>
    </row>
    <row r="1100" spans="1:7" x14ac:dyDescent="0.25">
      <c r="A1100" s="1" t="s">
        <v>1315</v>
      </c>
      <c r="B1100" s="2" t="str">
        <f>HYPERLINK("https://www.elsevier.com/locate/issn/0740-0020", "Food Microbiology")</f>
        <v>Food Microbiology</v>
      </c>
      <c r="C1100" s="1" t="s">
        <v>10</v>
      </c>
      <c r="D1100" s="1">
        <v>4210</v>
      </c>
      <c r="E1100" s="1">
        <v>3940</v>
      </c>
      <c r="F1100" s="1">
        <v>3370</v>
      </c>
      <c r="G1100" s="1">
        <v>522170</v>
      </c>
    </row>
    <row r="1101" spans="1:7" x14ac:dyDescent="0.25">
      <c r="A1101" s="1" t="s">
        <v>1316</v>
      </c>
      <c r="B1101" s="2" t="str">
        <f>HYPERLINK("https://www.elsevier.com/locate/issn/3050-8436", "Food Nutrition")</f>
        <v>Food Nutrition</v>
      </c>
      <c r="C1101" s="1" t="s">
        <v>23</v>
      </c>
      <c r="D1101" s="1">
        <v>2400</v>
      </c>
      <c r="E1101" s="1">
        <v>2250</v>
      </c>
      <c r="F1101" s="1">
        <v>1920</v>
      </c>
      <c r="G1101" s="1">
        <v>297670</v>
      </c>
    </row>
    <row r="1102" spans="1:7" x14ac:dyDescent="0.25">
      <c r="A1102" s="1" t="s">
        <v>1317</v>
      </c>
      <c r="B1102" s="2" t="str">
        <f>HYPERLINK("https://www.elsevier.com/locate/issn/2214-2894", "Food Packaging and Shelf Life")</f>
        <v>Food Packaging and Shelf Life</v>
      </c>
      <c r="C1102" s="1" t="s">
        <v>10</v>
      </c>
      <c r="D1102" s="1">
        <v>4690</v>
      </c>
      <c r="E1102" s="1">
        <v>4390</v>
      </c>
      <c r="F1102" s="1">
        <v>3750</v>
      </c>
      <c r="G1102" s="1">
        <v>581700</v>
      </c>
    </row>
    <row r="1103" spans="1:7" x14ac:dyDescent="0.25">
      <c r="A1103" s="1" t="s">
        <v>1318</v>
      </c>
      <c r="B1103" s="2" t="str">
        <f>HYPERLINK("https://www.elsevier.com/locate/issn/2950-0699", "Food Physics")</f>
        <v>Food Physics</v>
      </c>
      <c r="C1103" s="1" t="s">
        <v>34</v>
      </c>
      <c r="D1103" s="1">
        <v>700</v>
      </c>
      <c r="E1103" s="1">
        <v>650</v>
      </c>
      <c r="F1103" s="1">
        <v>560</v>
      </c>
      <c r="G1103" s="1">
        <v>86820</v>
      </c>
    </row>
    <row r="1104" spans="1:7" x14ac:dyDescent="0.25">
      <c r="A1104" s="1" t="s">
        <v>1319</v>
      </c>
      <c r="B1104" s="2" t="str">
        <f>HYPERLINK("https://www.elsevier.com/locate/issn/0306-9192", "Food Policy")</f>
        <v>Food Policy</v>
      </c>
      <c r="C1104" s="1" t="s">
        <v>10</v>
      </c>
      <c r="D1104" s="1">
        <v>4330</v>
      </c>
      <c r="E1104" s="1">
        <v>4050</v>
      </c>
      <c r="F1104" s="1">
        <v>3470</v>
      </c>
      <c r="G1104" s="1">
        <v>537050</v>
      </c>
    </row>
    <row r="1105" spans="1:7" x14ac:dyDescent="0.25">
      <c r="A1105" s="1" t="s">
        <v>1320</v>
      </c>
      <c r="B1105" s="2" t="str">
        <f>HYPERLINK("https://www.elsevier.com/locate/issn/0950-3293", "Food Quality and Preference")</f>
        <v>Food Quality and Preference</v>
      </c>
      <c r="C1105" s="1" t="s">
        <v>10</v>
      </c>
      <c r="D1105" s="1">
        <v>4420</v>
      </c>
      <c r="E1105" s="1">
        <v>4130</v>
      </c>
      <c r="F1105" s="1">
        <v>3540</v>
      </c>
      <c r="G1105" s="1">
        <v>548210</v>
      </c>
    </row>
    <row r="1106" spans="1:7" x14ac:dyDescent="0.25">
      <c r="A1106" s="1" t="s">
        <v>1321</v>
      </c>
      <c r="B1106" s="2" t="str">
        <f>HYPERLINK("https://www.elsevier.com/locate/issn/0963-9969", "Food Research International")</f>
        <v>Food Research International</v>
      </c>
      <c r="C1106" s="1" t="s">
        <v>10</v>
      </c>
      <c r="D1106" s="1">
        <v>4320</v>
      </c>
      <c r="E1106" s="1">
        <v>4040</v>
      </c>
      <c r="F1106" s="1">
        <v>3460</v>
      </c>
      <c r="G1106" s="1">
        <v>535810</v>
      </c>
    </row>
    <row r="1107" spans="1:7" x14ac:dyDescent="0.25">
      <c r="A1107" s="1" t="s">
        <v>1322</v>
      </c>
      <c r="B1107" s="2" t="str">
        <f>HYPERLINK("https://www.elsevier.com/locate/issn/2213-4530", "Food Science and Human Wellness")</f>
        <v>Food Science and Human Wellness</v>
      </c>
      <c r="C1107" s="1" t="s">
        <v>34</v>
      </c>
      <c r="D1107" s="1" t="s">
        <v>324</v>
      </c>
      <c r="E1107" s="1" t="s">
        <v>324</v>
      </c>
      <c r="F1107" s="1" t="s">
        <v>324</v>
      </c>
      <c r="G1107" s="1" t="s">
        <v>324</v>
      </c>
    </row>
    <row r="1108" spans="1:7" x14ac:dyDescent="0.25">
      <c r="A1108" s="1" t="s">
        <v>1323</v>
      </c>
      <c r="B1108" s="2" t="str">
        <f>HYPERLINK("https://www.elsevier.com/locate/issn/2213-3291", "Food Structure")</f>
        <v>Food Structure</v>
      </c>
      <c r="C1108" s="1" t="s">
        <v>10</v>
      </c>
      <c r="D1108" s="1">
        <v>3570</v>
      </c>
      <c r="E1108" s="1">
        <v>3340</v>
      </c>
      <c r="F1108" s="1">
        <v>2860</v>
      </c>
      <c r="G1108" s="1">
        <v>442790</v>
      </c>
    </row>
    <row r="1109" spans="1:7" x14ac:dyDescent="0.25">
      <c r="A1109" s="1" t="s">
        <v>1324</v>
      </c>
      <c r="B1109" s="2" t="str">
        <f>HYPERLINK("https://www.elsevier.com/locate/issn/2352-2496", "Food Webs")</f>
        <v>Food Webs</v>
      </c>
      <c r="C1109" s="1" t="s">
        <v>10</v>
      </c>
      <c r="D1109" s="1">
        <v>2950</v>
      </c>
      <c r="E1109" s="1">
        <v>2760</v>
      </c>
      <c r="F1109" s="1">
        <v>2360</v>
      </c>
      <c r="G1109" s="1">
        <v>365890</v>
      </c>
    </row>
    <row r="1110" spans="1:7" x14ac:dyDescent="0.25">
      <c r="A1110" s="1" t="s">
        <v>1325</v>
      </c>
      <c r="B1110" s="2" t="str">
        <f>HYPERLINK("https://www.elsevier.com/locate/issn/3050-7111", "Food Wellness")</f>
        <v>Food Wellness</v>
      </c>
      <c r="C1110" s="1" t="s">
        <v>34</v>
      </c>
      <c r="D1110" s="1" t="s">
        <v>324</v>
      </c>
      <c r="E1110" s="1" t="s">
        <v>324</v>
      </c>
      <c r="F1110" s="1" t="s">
        <v>324</v>
      </c>
      <c r="G1110" s="1" t="s">
        <v>324</v>
      </c>
    </row>
    <row r="1111" spans="1:7" x14ac:dyDescent="0.25">
      <c r="A1111" s="1" t="s">
        <v>1326</v>
      </c>
      <c r="B1111" s="2" t="str">
        <f>HYPERLINK("https://www.elsevier.com/locate/issn/1268-7731", "Foot and Ankle Surgery")</f>
        <v>Foot and Ankle Surgery</v>
      </c>
      <c r="C1111" s="1" t="s">
        <v>10</v>
      </c>
      <c r="D1111" s="1">
        <v>4470</v>
      </c>
      <c r="E1111" s="1">
        <v>4180</v>
      </c>
      <c r="F1111" s="1">
        <v>3580</v>
      </c>
      <c r="G1111" s="1">
        <v>554410</v>
      </c>
    </row>
    <row r="1112" spans="1:7" x14ac:dyDescent="0.25">
      <c r="A1112" s="1" t="s">
        <v>1327</v>
      </c>
      <c r="B1112" s="2" t="str">
        <f>HYPERLINK("https://www.elsevier.com/locate/issn/2666-3597", "Forces in Mechanics")</f>
        <v>Forces in Mechanics</v>
      </c>
      <c r="C1112" s="1" t="s">
        <v>23</v>
      </c>
      <c r="D1112" s="1">
        <v>2050</v>
      </c>
      <c r="E1112" s="1">
        <v>1920</v>
      </c>
      <c r="F1112" s="1">
        <v>1640</v>
      </c>
      <c r="G1112" s="1">
        <v>254260</v>
      </c>
    </row>
    <row r="1113" spans="1:7" x14ac:dyDescent="0.25">
      <c r="A1113" s="1" t="s">
        <v>1328</v>
      </c>
      <c r="B1113" s="2" t="str">
        <f>HYPERLINK("https://www.elsevier.com/locate/issn/2468-1709", "Forensic Chemistry")</f>
        <v>Forensic Chemistry</v>
      </c>
      <c r="C1113" s="1" t="s">
        <v>10</v>
      </c>
      <c r="D1113" s="1">
        <v>4530</v>
      </c>
      <c r="E1113" s="1">
        <v>4240</v>
      </c>
      <c r="F1113" s="1">
        <v>3630</v>
      </c>
      <c r="G1113" s="1">
        <v>561860</v>
      </c>
    </row>
    <row r="1114" spans="1:7" x14ac:dyDescent="0.25">
      <c r="A1114" s="1" t="s">
        <v>1329</v>
      </c>
      <c r="B1114" s="2" t="str">
        <f>HYPERLINK("https://www.elsevier.com/locate/issn/2666-2256", "Forensic Imaging")</f>
        <v>Forensic Imaging</v>
      </c>
      <c r="C1114" s="1" t="s">
        <v>10</v>
      </c>
      <c r="D1114" s="1">
        <v>3280</v>
      </c>
      <c r="E1114" s="1">
        <v>3070</v>
      </c>
      <c r="F1114" s="1">
        <v>2630</v>
      </c>
      <c r="G1114" s="1">
        <v>406820</v>
      </c>
    </row>
    <row r="1115" spans="1:7" x14ac:dyDescent="0.25">
      <c r="A1115" s="1" t="s">
        <v>1330</v>
      </c>
      <c r="B1115" s="2" t="str">
        <f>HYPERLINK("https://www.elsevier.com/locate/issn/0379-0738", "Forensic Science International")</f>
        <v>Forensic Science International</v>
      </c>
      <c r="C1115" s="1" t="s">
        <v>10</v>
      </c>
      <c r="D1115" s="1">
        <v>4580</v>
      </c>
      <c r="E1115" s="1">
        <v>4280</v>
      </c>
      <c r="F1115" s="1">
        <v>3670</v>
      </c>
      <c r="G1115" s="1">
        <v>568060</v>
      </c>
    </row>
    <row r="1116" spans="1:7" x14ac:dyDescent="0.25">
      <c r="A1116" s="1" t="s">
        <v>1331</v>
      </c>
      <c r="B1116" s="2" t="str">
        <f>HYPERLINK("https://www.elsevier.com/locate/issn/2666-9374", "Forensic Science International: Animals and Environments")</f>
        <v>Forensic Science International: Animals and Environments</v>
      </c>
      <c r="C1116" s="1" t="s">
        <v>23</v>
      </c>
      <c r="D1116" s="1">
        <v>1740</v>
      </c>
      <c r="E1116" s="1">
        <v>1630</v>
      </c>
      <c r="F1116" s="1">
        <v>1390</v>
      </c>
      <c r="G1116" s="1">
        <v>215810</v>
      </c>
    </row>
    <row r="1117" spans="1:7" x14ac:dyDescent="0.25">
      <c r="A1117" s="1" t="s">
        <v>1332</v>
      </c>
      <c r="B1117" s="2" t="str">
        <f>HYPERLINK("https://www.elsevier.com/locate/issn/2666-2817", "Forensic Science International: Digital Investigation")</f>
        <v>Forensic Science International: Digital Investigation</v>
      </c>
      <c r="C1117" s="1" t="s">
        <v>10</v>
      </c>
      <c r="D1117" s="1">
        <v>3100</v>
      </c>
      <c r="E1117" s="1">
        <v>2900</v>
      </c>
      <c r="F1117" s="1">
        <v>2480</v>
      </c>
      <c r="G1117" s="1">
        <v>384490</v>
      </c>
    </row>
    <row r="1118" spans="1:7" x14ac:dyDescent="0.25">
      <c r="A1118" s="1" t="s">
        <v>1333</v>
      </c>
      <c r="B1118" s="2" t="str">
        <f>HYPERLINK("https://www.elsevier.com/locate/issn/1872-4973", "Forensic Science International: Genetics")</f>
        <v>Forensic Science International: Genetics</v>
      </c>
      <c r="C1118" s="1" t="s">
        <v>10</v>
      </c>
      <c r="D1118" s="1">
        <v>5020</v>
      </c>
      <c r="E1118" s="1">
        <v>4700</v>
      </c>
      <c r="F1118" s="1">
        <v>4020</v>
      </c>
      <c r="G1118" s="1">
        <v>622630</v>
      </c>
    </row>
    <row r="1119" spans="1:7" x14ac:dyDescent="0.25">
      <c r="A1119" s="1" t="s">
        <v>1334</v>
      </c>
      <c r="B1119" s="2" t="str">
        <f>HYPERLINK("https://www.elsevier.com/locate/issn/1875-1768", "Forensic Science International: Genetics Supplement Series")</f>
        <v>Forensic Science International: Genetics Supplement Series</v>
      </c>
      <c r="C1119" s="1" t="s">
        <v>10</v>
      </c>
      <c r="D1119" s="1">
        <v>3180</v>
      </c>
      <c r="E1119" s="1">
        <v>2970</v>
      </c>
      <c r="F1119" s="1">
        <v>2550</v>
      </c>
      <c r="G1119" s="1">
        <v>394420</v>
      </c>
    </row>
    <row r="1120" spans="1:7" x14ac:dyDescent="0.25">
      <c r="A1120" s="1" t="s">
        <v>1335</v>
      </c>
      <c r="B1120" s="2" t="str">
        <f>HYPERLINK("https://www.elsevier.com/locate/issn/2666-3538", "Forensic Science International: Mind and Law")</f>
        <v>Forensic Science International: Mind and Law</v>
      </c>
      <c r="C1120" s="1" t="s">
        <v>23</v>
      </c>
      <c r="D1120" s="1">
        <v>2060</v>
      </c>
      <c r="E1120" s="1">
        <v>1930</v>
      </c>
      <c r="F1120" s="1">
        <v>1650</v>
      </c>
      <c r="G1120" s="1">
        <v>255500</v>
      </c>
    </row>
    <row r="1121" spans="1:7" x14ac:dyDescent="0.25">
      <c r="A1121" s="1" t="s">
        <v>1336</v>
      </c>
      <c r="B1121" s="2" t="str">
        <f>HYPERLINK("https://www.elsevier.com/locate/issn/2665-9107", "Forensic Science International: Reports")</f>
        <v>Forensic Science International: Reports</v>
      </c>
      <c r="C1121" s="1" t="s">
        <v>23</v>
      </c>
      <c r="D1121" s="1">
        <v>1090</v>
      </c>
      <c r="E1121" s="1">
        <v>1020</v>
      </c>
      <c r="F1121" s="1">
        <v>870</v>
      </c>
      <c r="G1121" s="1">
        <v>135190</v>
      </c>
    </row>
    <row r="1122" spans="1:7" x14ac:dyDescent="0.25">
      <c r="A1122" s="1" t="s">
        <v>1337</v>
      </c>
      <c r="B1122" s="2" t="str">
        <f>HYPERLINK("https://www.elsevier.com/locate/issn/2589-871X", "Forensic Science International: Synergy")</f>
        <v>Forensic Science International: Synergy</v>
      </c>
      <c r="C1122" s="1" t="s">
        <v>23</v>
      </c>
      <c r="D1122" s="1">
        <v>2310</v>
      </c>
      <c r="E1122" s="1">
        <v>2160</v>
      </c>
      <c r="F1122" s="1">
        <v>1850</v>
      </c>
      <c r="G1122" s="1">
        <v>286510</v>
      </c>
    </row>
    <row r="1123" spans="1:7" x14ac:dyDescent="0.25">
      <c r="A1123" s="1" t="s">
        <v>1338</v>
      </c>
      <c r="B1123" s="2" t="str">
        <f>HYPERLINK("https://www.elsevier.com/locate/issn/2471-1411", "Forensic Sciences Research")</f>
        <v>Forensic Sciences Research</v>
      </c>
      <c r="C1123" s="1" t="s">
        <v>34</v>
      </c>
      <c r="D1123" s="1" t="s">
        <v>324</v>
      </c>
      <c r="E1123" s="1" t="s">
        <v>324</v>
      </c>
      <c r="F1123" s="1" t="s">
        <v>324</v>
      </c>
      <c r="G1123" s="1" t="s">
        <v>324</v>
      </c>
    </row>
    <row r="1124" spans="1:7" x14ac:dyDescent="0.25">
      <c r="A1124" s="1" t="s">
        <v>1339</v>
      </c>
      <c r="B1124" s="2" t="str">
        <f>HYPERLINK("https://www.elsevier.com/locate/issn/0378-1127", "Forest Ecology and Management")</f>
        <v>Forest Ecology and Management</v>
      </c>
      <c r="C1124" s="1" t="s">
        <v>10</v>
      </c>
      <c r="D1124" s="1">
        <v>3560</v>
      </c>
      <c r="E1124" s="1">
        <v>3330</v>
      </c>
      <c r="F1124" s="1">
        <v>2850</v>
      </c>
      <c r="G1124" s="1">
        <v>441550</v>
      </c>
    </row>
    <row r="1125" spans="1:7" x14ac:dyDescent="0.25">
      <c r="A1125" s="1" t="s">
        <v>1340</v>
      </c>
      <c r="B1125" s="2" t="str">
        <f>HYPERLINK("https://www.elsevier.com/locate/issn/2197-5620", "Forest Ecosystems")</f>
        <v>Forest Ecosystems</v>
      </c>
      <c r="C1125" s="1" t="s">
        <v>34</v>
      </c>
      <c r="D1125" s="1" t="s">
        <v>324</v>
      </c>
      <c r="E1125" s="1" t="s">
        <v>324</v>
      </c>
      <c r="F1125" s="1" t="s">
        <v>324</v>
      </c>
      <c r="G1125" s="1" t="s">
        <v>324</v>
      </c>
    </row>
    <row r="1126" spans="1:7" x14ac:dyDescent="0.25">
      <c r="A1126" s="1" t="s">
        <v>1341</v>
      </c>
      <c r="B1126" s="2" t="str">
        <f>HYPERLINK("https://www.elsevier.com/locate/issn/1389-9341", "Forest Policy and Economics")</f>
        <v>Forest Policy and Economics</v>
      </c>
      <c r="C1126" s="1" t="s">
        <v>10</v>
      </c>
      <c r="D1126" s="1">
        <v>4370</v>
      </c>
      <c r="E1126" s="1">
        <v>4090</v>
      </c>
      <c r="F1126" s="1">
        <v>3500</v>
      </c>
      <c r="G1126" s="1">
        <v>542010</v>
      </c>
    </row>
    <row r="1127" spans="1:7" x14ac:dyDescent="0.25">
      <c r="A1127" s="1" t="s">
        <v>1342</v>
      </c>
      <c r="B1127" s="2" t="str">
        <f>HYPERLINK("https://www.elsevier.com/locate/issn/2773-1863", "Franklin Open")</f>
        <v>Franklin Open</v>
      </c>
      <c r="C1127" s="1" t="s">
        <v>23</v>
      </c>
      <c r="D1127" s="1">
        <v>1900</v>
      </c>
      <c r="E1127" s="1">
        <v>1780</v>
      </c>
      <c r="F1127" s="1">
        <v>1520</v>
      </c>
      <c r="G1127" s="1">
        <v>235660</v>
      </c>
    </row>
    <row r="1128" spans="1:7" x14ac:dyDescent="0.25">
      <c r="A1128" s="1" t="s">
        <v>1343</v>
      </c>
      <c r="B1128" s="2" t="str">
        <f>HYPERLINK("https://www.elsevier.com/locate/issn/0891-5849", "Free Radical Biology and Medicine")</f>
        <v>Free Radical Biology and Medicine</v>
      </c>
      <c r="C1128" s="1" t="s">
        <v>10</v>
      </c>
      <c r="D1128" s="1">
        <v>4240</v>
      </c>
      <c r="E1128" s="1">
        <v>3970</v>
      </c>
      <c r="F1128" s="1">
        <v>3390</v>
      </c>
      <c r="G1128" s="1">
        <v>525890</v>
      </c>
    </row>
    <row r="1129" spans="1:7" x14ac:dyDescent="0.25">
      <c r="A1129" s="1" t="s">
        <v>1344</v>
      </c>
      <c r="B1129" s="2" t="str">
        <f>HYPERLINK("https://www.elsevier.com/locate/issn/0091-3022", "Frontiers in Neuroendocrinology")</f>
        <v>Frontiers in Neuroendocrinology</v>
      </c>
      <c r="C1129" s="1" t="s">
        <v>10</v>
      </c>
      <c r="D1129" s="1">
        <v>4800</v>
      </c>
      <c r="E1129" s="1">
        <v>4490</v>
      </c>
      <c r="F1129" s="1">
        <v>3840</v>
      </c>
      <c r="G1129" s="1">
        <v>595340</v>
      </c>
    </row>
    <row r="1130" spans="1:7" x14ac:dyDescent="0.25">
      <c r="A1130" s="1" t="s">
        <v>1345</v>
      </c>
      <c r="B1130" s="2" t="str">
        <f>HYPERLINK("https://www.elsevier.com/locate/issn/2095-2635", "Frontiers of Architectural Research")</f>
        <v>Frontiers of Architectural Research</v>
      </c>
      <c r="C1130" s="1" t="s">
        <v>34</v>
      </c>
      <c r="D1130" s="1">
        <v>1500</v>
      </c>
      <c r="E1130" s="1">
        <v>1400</v>
      </c>
      <c r="F1130" s="1">
        <v>1200</v>
      </c>
      <c r="G1130" s="1">
        <v>186050</v>
      </c>
    </row>
    <row r="1131" spans="1:7" x14ac:dyDescent="0.25">
      <c r="A1131" s="1" t="s">
        <v>1346</v>
      </c>
      <c r="B1131" s="2" t="str">
        <f>HYPERLINK("https://www.elsevier.com/locate/issn/0016-2361", "Fuel")</f>
        <v>Fuel</v>
      </c>
      <c r="C1131" s="1" t="s">
        <v>10</v>
      </c>
      <c r="D1131" s="1">
        <v>4330</v>
      </c>
      <c r="E1131" s="1">
        <v>4050</v>
      </c>
      <c r="F1131" s="1">
        <v>3470</v>
      </c>
      <c r="G1131" s="1">
        <v>537050</v>
      </c>
    </row>
    <row r="1132" spans="1:7" x14ac:dyDescent="0.25">
      <c r="A1132" s="1" t="s">
        <v>1347</v>
      </c>
      <c r="B1132" s="2" t="str">
        <f>HYPERLINK("https://www.elsevier.com/locate/issn/2666-0520", "Fuel Communications")</f>
        <v>Fuel Communications</v>
      </c>
      <c r="C1132" s="1" t="s">
        <v>23</v>
      </c>
      <c r="D1132" s="1">
        <v>1810</v>
      </c>
      <c r="E1132" s="1">
        <v>1690</v>
      </c>
      <c r="F1132" s="1">
        <v>1450</v>
      </c>
      <c r="G1132" s="1">
        <v>224490</v>
      </c>
    </row>
    <row r="1133" spans="1:7" x14ac:dyDescent="0.25">
      <c r="A1133" s="1" t="s">
        <v>1348</v>
      </c>
      <c r="B1133" s="2" t="str">
        <f>HYPERLINK("https://www.elsevier.com/locate/issn/0378-3820", "Fuel Processing Technology")</f>
        <v>Fuel Processing Technology</v>
      </c>
      <c r="C1133" s="1" t="s">
        <v>23</v>
      </c>
      <c r="D1133" s="1">
        <v>3180</v>
      </c>
      <c r="E1133" s="1">
        <v>2970</v>
      </c>
      <c r="F1133" s="1">
        <v>2550</v>
      </c>
      <c r="G1133" s="1">
        <v>394420</v>
      </c>
    </row>
    <row r="1134" spans="1:7" x14ac:dyDescent="0.25">
      <c r="A1134" s="1" t="s">
        <v>1349</v>
      </c>
      <c r="B1134" s="2" t="str">
        <f>HYPERLINK("https://www.elsevier.com/locate/issn/2772-8285", "Fundamental Plasma Physics")</f>
        <v>Fundamental Plasma Physics</v>
      </c>
      <c r="C1134" s="1" t="s">
        <v>23</v>
      </c>
      <c r="D1134" s="1">
        <v>1070</v>
      </c>
      <c r="E1134" s="1">
        <v>1000</v>
      </c>
      <c r="F1134" s="1">
        <v>860</v>
      </c>
      <c r="G1134" s="1">
        <v>132710</v>
      </c>
    </row>
    <row r="1135" spans="1:7" x14ac:dyDescent="0.25">
      <c r="A1135" s="1" t="s">
        <v>1350</v>
      </c>
      <c r="B1135" s="2" t="str">
        <f>HYPERLINK("https://www.elsevier.com/locate/issn/2667-3258", "Fundamental Research")</f>
        <v>Fundamental Research</v>
      </c>
      <c r="C1135" s="1" t="s">
        <v>34</v>
      </c>
      <c r="D1135" s="1" t="s">
        <v>324</v>
      </c>
      <c r="E1135" s="1" t="s">
        <v>324</v>
      </c>
      <c r="F1135" s="1" t="s">
        <v>324</v>
      </c>
      <c r="G1135" s="1" t="s">
        <v>324</v>
      </c>
    </row>
    <row r="1136" spans="1:7" x14ac:dyDescent="0.25">
      <c r="A1136" s="1" t="s">
        <v>1351</v>
      </c>
      <c r="B1136" s="2" t="str">
        <f>HYPERLINK("https://www.elsevier.com/locate/issn/1878-6146", "Fungal Biology")</f>
        <v>Fungal Biology</v>
      </c>
      <c r="C1136" s="1" t="s">
        <v>10</v>
      </c>
      <c r="D1136" s="1">
        <v>2800</v>
      </c>
      <c r="E1136" s="1">
        <v>2620</v>
      </c>
      <c r="F1136" s="1">
        <v>2240</v>
      </c>
      <c r="G1136" s="1">
        <v>347280</v>
      </c>
    </row>
    <row r="1137" spans="1:7" x14ac:dyDescent="0.25">
      <c r="A1137" s="1" t="s">
        <v>1352</v>
      </c>
      <c r="B1137" s="2" t="str">
        <f>HYPERLINK("https://www.elsevier.com/locate/issn/1749-4613", "Fungal Biology Reviews")</f>
        <v>Fungal Biology Reviews</v>
      </c>
      <c r="C1137" s="1" t="s">
        <v>10</v>
      </c>
      <c r="D1137" s="1">
        <v>3000</v>
      </c>
      <c r="E1137" s="1">
        <v>2810</v>
      </c>
      <c r="F1137" s="1">
        <v>2400</v>
      </c>
      <c r="G1137" s="1">
        <v>372090</v>
      </c>
    </row>
    <row r="1138" spans="1:7" x14ac:dyDescent="0.25">
      <c r="A1138" s="1" t="s">
        <v>1353</v>
      </c>
      <c r="B1138" s="2" t="str">
        <f>HYPERLINK("https://www.elsevier.com/locate/issn/1754-5048", "Fungal Ecology")</f>
        <v>Fungal Ecology</v>
      </c>
      <c r="C1138" s="1" t="s">
        <v>10</v>
      </c>
      <c r="D1138" s="1">
        <v>3600</v>
      </c>
      <c r="E1138" s="1">
        <v>3370</v>
      </c>
      <c r="F1138" s="1">
        <v>2880</v>
      </c>
      <c r="G1138" s="1">
        <v>446510</v>
      </c>
    </row>
    <row r="1139" spans="1:7" x14ac:dyDescent="0.25">
      <c r="A1139" s="1" t="s">
        <v>1354</v>
      </c>
      <c r="B1139" s="2" t="str">
        <f>HYPERLINK("https://www.elsevier.com/locate/issn/1087-1845", "Fungal Genetics and Biology")</f>
        <v>Fungal Genetics and Biology</v>
      </c>
      <c r="C1139" s="1" t="s">
        <v>10</v>
      </c>
      <c r="D1139" s="1">
        <v>3210</v>
      </c>
      <c r="E1139" s="1">
        <v>3000</v>
      </c>
      <c r="F1139" s="1">
        <v>2570</v>
      </c>
      <c r="G1139" s="1">
        <v>398140</v>
      </c>
    </row>
    <row r="1140" spans="1:7" x14ac:dyDescent="0.25">
      <c r="A1140" s="1" t="s">
        <v>1355</v>
      </c>
      <c r="B1140" s="2" t="str">
        <f>HYPERLINK("https://www.elsevier.com/locate/issn/2773-2150", "Fungal Interactions")</f>
        <v>Fungal Interactions</v>
      </c>
      <c r="C1140" s="1" t="s">
        <v>23</v>
      </c>
      <c r="D1140" s="1">
        <v>1950</v>
      </c>
      <c r="E1140" s="1">
        <v>1820</v>
      </c>
      <c r="F1140" s="1">
        <v>1560</v>
      </c>
      <c r="G1140" s="1">
        <v>241860</v>
      </c>
    </row>
    <row r="1141" spans="1:7" x14ac:dyDescent="0.25">
      <c r="A1141" s="1" t="s">
        <v>1356</v>
      </c>
      <c r="B1141" s="2" t="str">
        <f>HYPERLINK("https://www.elsevier.com/locate/issn/0920-3796", "Fusion Engineering and Design")</f>
        <v>Fusion Engineering and Design</v>
      </c>
      <c r="C1141" s="1" t="s">
        <v>10</v>
      </c>
      <c r="D1141" s="1">
        <v>2810</v>
      </c>
      <c r="E1141" s="1">
        <v>2630</v>
      </c>
      <c r="F1141" s="1">
        <v>2250</v>
      </c>
      <c r="G1141" s="1">
        <v>348520</v>
      </c>
    </row>
    <row r="1142" spans="1:7" x14ac:dyDescent="0.25">
      <c r="A1142" s="1" t="s">
        <v>1357</v>
      </c>
      <c r="B1142" s="2" t="str">
        <f>HYPERLINK("https://www.elsevier.com/locate/issn/2950-2640", "Future Batteries")</f>
        <v>Future Batteries</v>
      </c>
      <c r="C1142" s="1" t="s">
        <v>23</v>
      </c>
      <c r="D1142" s="1">
        <v>1950</v>
      </c>
      <c r="E1142" s="1">
        <v>1820</v>
      </c>
      <c r="F1142" s="1">
        <v>1560</v>
      </c>
      <c r="G1142" s="1">
        <v>241860</v>
      </c>
    </row>
    <row r="1143" spans="1:7" x14ac:dyDescent="0.25">
      <c r="A1143" s="1" t="s">
        <v>1358</v>
      </c>
      <c r="B1143" s="2" t="str">
        <f>HYPERLINK("https://www.elsevier.com/locate/issn/2666-8335", "Future Foods")</f>
        <v>Future Foods</v>
      </c>
      <c r="C1143" s="1" t="s">
        <v>23</v>
      </c>
      <c r="D1143" s="1">
        <v>1990</v>
      </c>
      <c r="E1143" s="1">
        <v>1860</v>
      </c>
      <c r="F1143" s="1">
        <v>1590</v>
      </c>
      <c r="G1143" s="1">
        <v>246820</v>
      </c>
    </row>
    <row r="1144" spans="1:7" x14ac:dyDescent="0.25">
      <c r="A1144" s="1" t="s">
        <v>1359</v>
      </c>
      <c r="B1144" s="2" t="str">
        <f>HYPERLINK("https://www.elsevier.com/locate/issn/0167-739X", "Future Generation Computer Systems")</f>
        <v>Future Generation Computer Systems</v>
      </c>
      <c r="C1144" s="1" t="s">
        <v>10</v>
      </c>
      <c r="D1144" s="1">
        <v>3000</v>
      </c>
      <c r="E1144" s="1">
        <v>2810</v>
      </c>
      <c r="F1144" s="1">
        <v>2400</v>
      </c>
      <c r="G1144" s="1">
        <v>372090</v>
      </c>
    </row>
    <row r="1145" spans="1:7" x14ac:dyDescent="0.25">
      <c r="A1145" s="1" t="s">
        <v>1360</v>
      </c>
      <c r="B1145" s="2" t="str">
        <f>HYPERLINK("https://www.elsevier.com/locate/issn/2514-6645", "Future Healthcare Journal")</f>
        <v>Future Healthcare Journal</v>
      </c>
      <c r="C1145" s="1" t="s">
        <v>23</v>
      </c>
      <c r="D1145" s="1">
        <v>2000</v>
      </c>
      <c r="E1145" s="1">
        <v>1870</v>
      </c>
      <c r="F1145" s="1">
        <v>1600</v>
      </c>
      <c r="G1145" s="1">
        <v>248060</v>
      </c>
    </row>
    <row r="1146" spans="1:7" x14ac:dyDescent="0.25">
      <c r="A1146" s="1" t="s">
        <v>1361</v>
      </c>
      <c r="B1146" s="2" t="str">
        <f>HYPERLINK("https://www.elsevier.com/locate/issn/0016-3287", "Futures")</f>
        <v>Futures</v>
      </c>
      <c r="C1146" s="1" t="s">
        <v>10</v>
      </c>
      <c r="D1146" s="1">
        <v>2370</v>
      </c>
      <c r="E1146" s="1">
        <v>2220</v>
      </c>
      <c r="F1146" s="1">
        <v>1900</v>
      </c>
      <c r="G1146" s="1">
        <v>293950</v>
      </c>
    </row>
    <row r="1147" spans="1:7" x14ac:dyDescent="0.25">
      <c r="A1147" s="1" t="s">
        <v>1362</v>
      </c>
      <c r="B1147" s="2" t="str">
        <f>HYPERLINK("https://www.elsevier.com/locate/issn/0165-0114", "Fuzzy Sets and Systems")</f>
        <v>Fuzzy Sets and Systems</v>
      </c>
      <c r="C1147" s="1" t="s">
        <v>10</v>
      </c>
      <c r="D1147" s="1">
        <v>2550</v>
      </c>
      <c r="E1147" s="1">
        <v>2390</v>
      </c>
      <c r="F1147" s="1">
        <v>2040</v>
      </c>
      <c r="G1147" s="1">
        <v>316280</v>
      </c>
    </row>
    <row r="1148" spans="1:7" x14ac:dyDescent="0.25">
      <c r="A1148" s="1" t="s">
        <v>1363</v>
      </c>
      <c r="B1148" s="2" t="str">
        <f>HYPERLINK("https://www.elsevier.com/locate/issn/1619-9987", "Fuss &amp; Sprunggelenk")</f>
        <v>Fuss &amp; Sprunggelenk</v>
      </c>
      <c r="C1148" s="1" t="s">
        <v>10</v>
      </c>
      <c r="D1148" s="1">
        <v>2860</v>
      </c>
      <c r="E1148" s="1">
        <v>2680</v>
      </c>
      <c r="F1148" s="1">
        <v>2290</v>
      </c>
      <c r="G1148" s="1">
        <v>354730</v>
      </c>
    </row>
    <row r="1149" spans="1:7" x14ac:dyDescent="0.25">
      <c r="A1149" s="1" t="s">
        <v>1364</v>
      </c>
      <c r="B1149" s="2" t="str">
        <f>HYPERLINK("https://www.elsevier.com/locate/issn/0213-9111", "Gaceta Sanitaria")</f>
        <v>Gaceta Sanitaria</v>
      </c>
      <c r="C1149" s="1" t="s">
        <v>34</v>
      </c>
      <c r="D1149" s="1" t="s">
        <v>324</v>
      </c>
      <c r="E1149" s="1" t="s">
        <v>324</v>
      </c>
      <c r="F1149" s="1" t="s">
        <v>324</v>
      </c>
      <c r="G1149" s="1" t="s">
        <v>324</v>
      </c>
    </row>
    <row r="1150" spans="1:7" x14ac:dyDescent="0.25">
      <c r="A1150" s="1" t="s">
        <v>1365</v>
      </c>
      <c r="B1150" s="2" t="str">
        <f>HYPERLINK("https://www.elsevier.com/locate/issn/0966-6362", "Gait &amp; Posture")</f>
        <v>Gait &amp; Posture</v>
      </c>
      <c r="C1150" s="1" t="s">
        <v>10</v>
      </c>
      <c r="D1150" s="1">
        <v>3510</v>
      </c>
      <c r="E1150" s="1">
        <v>3280</v>
      </c>
      <c r="F1150" s="1">
        <v>2810</v>
      </c>
      <c r="G1150" s="1">
        <v>435350</v>
      </c>
    </row>
    <row r="1151" spans="1:7" x14ac:dyDescent="0.25">
      <c r="A1151" s="1" t="s">
        <v>1366</v>
      </c>
      <c r="B1151" s="2" t="str">
        <f>HYPERLINK("https://www.elsevier.com/locate/issn/0899-8256", "Games and Economic Behavior")</f>
        <v>Games and Economic Behavior</v>
      </c>
      <c r="C1151" s="1" t="s">
        <v>10</v>
      </c>
      <c r="D1151" s="1">
        <v>2720</v>
      </c>
      <c r="E1151" s="1">
        <v>2540</v>
      </c>
      <c r="F1151" s="1">
        <v>2180</v>
      </c>
      <c r="G1151" s="1">
        <v>337360</v>
      </c>
    </row>
    <row r="1152" spans="1:7" x14ac:dyDescent="0.25">
      <c r="A1152" s="1" t="s">
        <v>1367</v>
      </c>
      <c r="B1152" s="2" t="str">
        <f>HYPERLINK("https://www.elsevier.com/locate/issn/2949-9089", "Gas Science and Engineering")</f>
        <v>Gas Science and Engineering</v>
      </c>
      <c r="C1152" s="1" t="s">
        <v>10</v>
      </c>
      <c r="D1152" s="1">
        <v>3550</v>
      </c>
      <c r="E1152" s="1">
        <v>3320</v>
      </c>
      <c r="F1152" s="1">
        <v>2840</v>
      </c>
      <c r="G1152" s="1">
        <v>440310</v>
      </c>
    </row>
    <row r="1153" spans="1:7" x14ac:dyDescent="0.25">
      <c r="A1153" s="1" t="s">
        <v>1368</v>
      </c>
      <c r="B1153" s="2" t="str">
        <f>HYPERLINK("https://www.elsevier.com/locate/issn/2772-5723", "Gastro Hep Advances")</f>
        <v>Gastro Hep Advances</v>
      </c>
      <c r="C1153" s="1" t="s">
        <v>23</v>
      </c>
      <c r="D1153" s="1">
        <v>2000</v>
      </c>
      <c r="E1153" s="1">
        <v>1870</v>
      </c>
      <c r="F1153" s="1">
        <v>1600</v>
      </c>
      <c r="G1153" s="1">
        <v>248060</v>
      </c>
    </row>
    <row r="1154" spans="1:7" x14ac:dyDescent="0.25">
      <c r="A1154" s="1" t="s">
        <v>1369</v>
      </c>
      <c r="B1154" s="2" t="str">
        <f>HYPERLINK("https://www.elsevier.com/locate/issn/0016-5085", "Gastroenterology")</f>
        <v>Gastroenterology</v>
      </c>
      <c r="C1154" s="1" t="s">
        <v>10</v>
      </c>
      <c r="D1154" s="1">
        <v>4180</v>
      </c>
      <c r="E1154" s="1">
        <v>3910</v>
      </c>
      <c r="F1154" s="1">
        <v>3350</v>
      </c>
      <c r="G1154" s="1">
        <v>518450</v>
      </c>
    </row>
    <row r="1155" spans="1:7" x14ac:dyDescent="0.25">
      <c r="A1155" s="1" t="s">
        <v>1370</v>
      </c>
      <c r="B1155" s="2" t="str">
        <f>HYPERLINK("https://www.elsevier.com/locate/issn/2949-7523", "Gastroenterology &amp; Endoscopy")</f>
        <v>Gastroenterology &amp; Endoscopy</v>
      </c>
      <c r="C1155" s="1" t="s">
        <v>34</v>
      </c>
      <c r="D1155" s="1" t="s">
        <v>324</v>
      </c>
      <c r="E1155" s="1" t="s">
        <v>324</v>
      </c>
      <c r="F1155" s="1" t="s">
        <v>324</v>
      </c>
      <c r="G1155" s="1" t="s">
        <v>324</v>
      </c>
    </row>
    <row r="1156" spans="1:7" x14ac:dyDescent="0.25">
      <c r="A1156" s="1" t="s">
        <v>1371</v>
      </c>
      <c r="B1156" s="2" t="str">
        <f>HYPERLINK("https://www.elsevier.com/locate/issn/0210-5705", "Gastroenterología y Hepatología")</f>
        <v>Gastroenterología y Hepatología</v>
      </c>
      <c r="C1156" s="1" t="s">
        <v>10</v>
      </c>
      <c r="D1156" s="1">
        <v>2590</v>
      </c>
      <c r="E1156" s="1">
        <v>2360</v>
      </c>
      <c r="F1156" s="1">
        <v>2070</v>
      </c>
      <c r="G1156" s="1">
        <v>321240</v>
      </c>
    </row>
    <row r="1157" spans="1:7" x14ac:dyDescent="0.25">
      <c r="A1157" s="1" t="s">
        <v>1372</v>
      </c>
      <c r="B1157" s="2" t="str">
        <f>HYPERLINK("https://www.elsevier.com/locate/issn/2444-3824", "Gastroenterología y Hepatología (English Edition)")</f>
        <v>Gastroenterología y Hepatología (English Edition)</v>
      </c>
      <c r="C1157" s="1" t="s">
        <v>10</v>
      </c>
      <c r="D1157" s="1">
        <v>2520</v>
      </c>
      <c r="E1157" s="1">
        <v>2360</v>
      </c>
      <c r="F1157" s="1">
        <v>2020</v>
      </c>
      <c r="G1157" s="1">
        <v>312910</v>
      </c>
    </row>
    <row r="1158" spans="1:7" x14ac:dyDescent="0.25">
      <c r="A1158" s="1" t="s">
        <v>1373</v>
      </c>
      <c r="B1158" s="2" t="str">
        <f>HYPERLINK("https://www.elsevier.com/locate/issn/0016-5107", "Gastrointestinal Endoscopy")</f>
        <v>Gastrointestinal Endoscopy</v>
      </c>
      <c r="C1158" s="1" t="s">
        <v>10</v>
      </c>
      <c r="D1158" s="1">
        <v>3450</v>
      </c>
      <c r="E1158" s="1">
        <v>3230</v>
      </c>
      <c r="F1158" s="1">
        <v>2760</v>
      </c>
      <c r="G1158" s="1">
        <v>427900</v>
      </c>
    </row>
    <row r="1159" spans="1:7" x14ac:dyDescent="0.25">
      <c r="A1159" s="1" t="s">
        <v>1374</v>
      </c>
      <c r="B1159" s="2" t="str">
        <f>HYPERLINK("https://www.elsevier.com/locate/issn/0378-1119", "Gene")</f>
        <v>Gene</v>
      </c>
      <c r="C1159" s="1" t="s">
        <v>10</v>
      </c>
      <c r="D1159" s="1">
        <v>3300</v>
      </c>
      <c r="E1159" s="1">
        <v>3090</v>
      </c>
      <c r="F1159" s="1">
        <v>2640</v>
      </c>
      <c r="G1159" s="1">
        <v>409300</v>
      </c>
    </row>
    <row r="1160" spans="1:7" x14ac:dyDescent="0.25">
      <c r="A1160" s="1" t="s">
        <v>1375</v>
      </c>
      <c r="B1160" s="2" t="str">
        <f>HYPERLINK("https://www.elsevier.com/locate/issn/2666-3880", "Gene and Genome Editing")</f>
        <v>Gene and Genome Editing</v>
      </c>
      <c r="C1160" s="1" t="s">
        <v>23</v>
      </c>
      <c r="D1160" s="1">
        <v>3180</v>
      </c>
      <c r="E1160" s="1">
        <v>2970</v>
      </c>
      <c r="F1160" s="1">
        <v>2550</v>
      </c>
      <c r="G1160" s="1">
        <v>394420</v>
      </c>
    </row>
    <row r="1161" spans="1:7" x14ac:dyDescent="0.25">
      <c r="A1161" s="1" t="s">
        <v>1376</v>
      </c>
      <c r="B1161" s="2" t="str">
        <f>HYPERLINK("https://www.elsevier.com/locate/issn/1567-133X", "Gene Expression Patterns")</f>
        <v>Gene Expression Patterns</v>
      </c>
      <c r="C1161" s="1" t="s">
        <v>10</v>
      </c>
      <c r="D1161" s="1">
        <v>2940</v>
      </c>
      <c r="E1161" s="1">
        <v>2750</v>
      </c>
      <c r="F1161" s="1">
        <v>2350</v>
      </c>
      <c r="G1161" s="1">
        <v>364650</v>
      </c>
    </row>
    <row r="1162" spans="1:7" x14ac:dyDescent="0.25">
      <c r="A1162" s="1" t="s">
        <v>1377</v>
      </c>
      <c r="B1162" s="2" t="str">
        <f>HYPERLINK("https://www.elsevier.com/locate/issn/2452-0144", "Gene Reports")</f>
        <v>Gene Reports</v>
      </c>
      <c r="C1162" s="1" t="s">
        <v>10</v>
      </c>
      <c r="D1162" s="1">
        <v>2860</v>
      </c>
      <c r="E1162" s="1">
        <v>2890</v>
      </c>
      <c r="F1162" s="1">
        <v>2470</v>
      </c>
      <c r="G1162" s="1">
        <v>383250</v>
      </c>
    </row>
    <row r="1163" spans="1:7" x14ac:dyDescent="0.25">
      <c r="A1163" s="1" t="s">
        <v>1378</v>
      </c>
      <c r="B1163" s="2" t="str">
        <f>HYPERLINK("https://www.elsevier.com/locate/issn/0016-6480", "General and Comparative Endocrinology")</f>
        <v>General and Comparative Endocrinology</v>
      </c>
      <c r="C1163" s="1" t="s">
        <v>10</v>
      </c>
      <c r="D1163" s="1">
        <v>3540</v>
      </c>
      <c r="E1163" s="1">
        <v>3310</v>
      </c>
      <c r="F1163" s="1">
        <v>2830</v>
      </c>
      <c r="G1163" s="1">
        <v>439070</v>
      </c>
    </row>
    <row r="1164" spans="1:7" x14ac:dyDescent="0.25">
      <c r="A1164" s="1" t="s">
        <v>1379</v>
      </c>
      <c r="B1164" s="2" t="str">
        <f>HYPERLINK("https://www.elsevier.com/locate/issn/0163-8343", "General Hospital Psychiatry")</f>
        <v>General Hospital Psychiatry</v>
      </c>
      <c r="C1164" s="1" t="s">
        <v>10</v>
      </c>
      <c r="D1164" s="1">
        <v>3720</v>
      </c>
      <c r="E1164" s="1">
        <v>3480</v>
      </c>
      <c r="F1164" s="1">
        <v>2980</v>
      </c>
      <c r="G1164" s="1">
        <v>461390</v>
      </c>
    </row>
    <row r="1165" spans="1:7" x14ac:dyDescent="0.25">
      <c r="A1165" s="1" t="s">
        <v>1380</v>
      </c>
      <c r="B1165" s="2" t="str">
        <f>HYPERLINK("https://www.elsevier.com/locate/issn/2352-3042", "Genes &amp; Diseases")</f>
        <v>Genes &amp; Diseases</v>
      </c>
      <c r="C1165" s="1" t="s">
        <v>34</v>
      </c>
      <c r="D1165" s="1">
        <v>2500</v>
      </c>
      <c r="E1165" s="1">
        <v>2340</v>
      </c>
      <c r="F1165" s="1">
        <v>2000</v>
      </c>
      <c r="G1165" s="1">
        <v>310080</v>
      </c>
    </row>
    <row r="1166" spans="1:7" x14ac:dyDescent="0.25">
      <c r="A1166" s="1" t="s">
        <v>1381</v>
      </c>
      <c r="B1166" s="2" t="str">
        <f>HYPERLINK("https://www.elsevier.com/locate/issn/1098-3600", "Genetics in Medicine")</f>
        <v>Genetics in Medicine</v>
      </c>
      <c r="C1166" s="1" t="s">
        <v>10</v>
      </c>
      <c r="D1166" s="1">
        <v>5110</v>
      </c>
      <c r="E1166" s="1">
        <v>4780</v>
      </c>
      <c r="F1166" s="1">
        <v>4090</v>
      </c>
      <c r="G1166" s="1">
        <v>633790</v>
      </c>
    </row>
    <row r="1167" spans="1:7" x14ac:dyDescent="0.25">
      <c r="A1167" s="1" t="s">
        <v>1382</v>
      </c>
      <c r="B1167" s="2" t="str">
        <f>HYPERLINK("https://www.elsevier.com/locate/issn/2949-7744", "Genetics in Medicine Open")</f>
        <v>Genetics in Medicine Open</v>
      </c>
      <c r="C1167" s="1" t="s">
        <v>23</v>
      </c>
      <c r="D1167" s="1">
        <v>3200</v>
      </c>
      <c r="E1167" s="1">
        <v>2990</v>
      </c>
      <c r="F1167" s="1">
        <v>2560</v>
      </c>
      <c r="G1167" s="1">
        <v>396900</v>
      </c>
    </row>
    <row r="1168" spans="1:7" x14ac:dyDescent="0.25">
      <c r="A1168" s="1" t="s">
        <v>1383</v>
      </c>
      <c r="B1168" s="2" t="str">
        <f>HYPERLINK("https://www.elsevier.com/locate/issn/0888-7543", "Genomics")</f>
        <v>Genomics</v>
      </c>
      <c r="C1168" s="1" t="s">
        <v>23</v>
      </c>
      <c r="D1168" s="1">
        <v>2980</v>
      </c>
      <c r="E1168" s="1">
        <v>2790</v>
      </c>
      <c r="F1168" s="1">
        <v>2390</v>
      </c>
      <c r="G1168" s="1">
        <v>369610</v>
      </c>
    </row>
    <row r="1169" spans="1:7" x14ac:dyDescent="0.25">
      <c r="A1169" s="1" t="s">
        <v>1384</v>
      </c>
      <c r="B1169" s="2" t="str">
        <f>HYPERLINK("https://www.elsevier.com/locate/issn/0016-6995", "Geobios")</f>
        <v>Geobios</v>
      </c>
      <c r="C1169" s="1" t="s">
        <v>10</v>
      </c>
      <c r="D1169" s="1">
        <v>3030</v>
      </c>
      <c r="E1169" s="1">
        <v>2830</v>
      </c>
      <c r="F1169" s="1">
        <v>2430</v>
      </c>
      <c r="G1169" s="1">
        <v>375810</v>
      </c>
    </row>
    <row r="1170" spans="1:7" x14ac:dyDescent="0.25">
      <c r="A1170" s="1" t="s">
        <v>1385</v>
      </c>
      <c r="B1170" s="2" t="str">
        <f>HYPERLINK("https://www.elsevier.com/locate/issn/0009-2819", "Geochemistry")</f>
        <v>Geochemistry</v>
      </c>
      <c r="C1170" s="1" t="s">
        <v>10</v>
      </c>
      <c r="D1170" s="1">
        <v>3440</v>
      </c>
      <c r="E1170" s="1">
        <v>3220</v>
      </c>
      <c r="F1170" s="1">
        <v>2750</v>
      </c>
      <c r="G1170" s="1">
        <v>426660</v>
      </c>
    </row>
    <row r="1171" spans="1:7" x14ac:dyDescent="0.25">
      <c r="A1171" s="1" t="s">
        <v>1386</v>
      </c>
      <c r="B1171" s="2" t="str">
        <f>HYPERLINK("https://www.elsevier.com/locate/issn/0016-7037", "Geochimica et Cosmochimica Acta")</f>
        <v>Geochimica et Cosmochimica Acta</v>
      </c>
      <c r="C1171" s="1" t="s">
        <v>10</v>
      </c>
      <c r="D1171" s="1">
        <v>4090</v>
      </c>
      <c r="E1171" s="1">
        <v>3830</v>
      </c>
      <c r="F1171" s="1">
        <v>3270</v>
      </c>
      <c r="G1171" s="1">
        <v>507280</v>
      </c>
    </row>
    <row r="1172" spans="1:7" x14ac:dyDescent="0.25">
      <c r="A1172" s="1" t="s">
        <v>1387</v>
      </c>
      <c r="B1172" s="2" t="str">
        <f>HYPERLINK("https://www.elsevier.com/locate/issn/3050-483X", "Geodata and AI")</f>
        <v>Geodata and AI</v>
      </c>
      <c r="C1172" s="1" t="s">
        <v>23</v>
      </c>
      <c r="D1172" s="1">
        <v>2000</v>
      </c>
      <c r="E1172" s="1">
        <v>1870</v>
      </c>
      <c r="F1172" s="1">
        <v>1600</v>
      </c>
      <c r="G1172" s="1">
        <v>248060</v>
      </c>
    </row>
    <row r="1173" spans="1:7" x14ac:dyDescent="0.25">
      <c r="A1173" s="1" t="s">
        <v>1388</v>
      </c>
      <c r="B1173" s="2" t="str">
        <f>HYPERLINK("https://www.elsevier.com/locate/issn/0016-7061", "Geoderma")</f>
        <v>Geoderma</v>
      </c>
      <c r="C1173" s="1" t="s">
        <v>23</v>
      </c>
      <c r="D1173" s="1">
        <v>3320</v>
      </c>
      <c r="E1173" s="1">
        <v>3110</v>
      </c>
      <c r="F1173" s="1">
        <v>2660</v>
      </c>
      <c r="G1173" s="1">
        <v>411780</v>
      </c>
    </row>
    <row r="1174" spans="1:7" x14ac:dyDescent="0.25">
      <c r="A1174" s="1" t="s">
        <v>1389</v>
      </c>
      <c r="B1174" s="2" t="str">
        <f>HYPERLINK("https://www.elsevier.com/locate/issn/2352-0094", "Geoderma Regional")</f>
        <v>Geoderma Regional</v>
      </c>
      <c r="C1174" s="1" t="s">
        <v>10</v>
      </c>
      <c r="D1174" s="1">
        <v>2310</v>
      </c>
      <c r="E1174" s="1">
        <v>2160</v>
      </c>
      <c r="F1174" s="1">
        <v>1850</v>
      </c>
      <c r="G1174" s="1">
        <v>286510</v>
      </c>
    </row>
    <row r="1175" spans="1:7" x14ac:dyDescent="0.25">
      <c r="A1175" s="1" t="s">
        <v>1390</v>
      </c>
      <c r="B1175" s="2" t="str">
        <f>HYPERLINK("https://www.elsevier.com/locate/issn/1674-9847", "Geodesy and Geodynamics")</f>
        <v>Geodesy and Geodynamics</v>
      </c>
      <c r="C1175" s="1" t="s">
        <v>34</v>
      </c>
      <c r="D1175" s="1" t="s">
        <v>324</v>
      </c>
      <c r="E1175" s="1" t="s">
        <v>324</v>
      </c>
      <c r="F1175" s="1" t="s">
        <v>324</v>
      </c>
      <c r="G1175" s="1" t="s">
        <v>324</v>
      </c>
    </row>
    <row r="1176" spans="1:7" x14ac:dyDescent="0.25">
      <c r="A1176" s="1" t="s">
        <v>1391</v>
      </c>
      <c r="B1176" s="2" t="str">
        <f>HYPERLINK("https://www.elsevier.com/locate/issn/2949-8910", "Geoenergy Science and Engineering")</f>
        <v>Geoenergy Science and Engineering</v>
      </c>
      <c r="C1176" s="1" t="s">
        <v>10</v>
      </c>
      <c r="D1176" s="1">
        <v>3640</v>
      </c>
      <c r="E1176" s="1">
        <v>3410</v>
      </c>
      <c r="F1176" s="1">
        <v>2910</v>
      </c>
      <c r="G1176" s="1">
        <v>451470</v>
      </c>
    </row>
    <row r="1177" spans="1:7" x14ac:dyDescent="0.25">
      <c r="A1177" s="1" t="s">
        <v>1392</v>
      </c>
      <c r="B1177" s="2" t="str">
        <f>HYPERLINK("https://www.elsevier.com/locate/issn/0016-7185", "Geoforum")</f>
        <v>Geoforum</v>
      </c>
      <c r="C1177" s="1" t="s">
        <v>10</v>
      </c>
      <c r="D1177" s="1">
        <v>3390</v>
      </c>
      <c r="E1177" s="1">
        <v>3170</v>
      </c>
      <c r="F1177" s="1">
        <v>2710</v>
      </c>
      <c r="G1177" s="1">
        <v>420460</v>
      </c>
    </row>
    <row r="1178" spans="1:7" x14ac:dyDescent="0.25">
      <c r="A1178" s="1" t="s">
        <v>1393</v>
      </c>
      <c r="B1178" s="2" t="str">
        <f>HYPERLINK("https://www.elsevier.com/locate/issn/2666-6839", "Geography and Sustainability")</f>
        <v>Geography and Sustainability</v>
      </c>
      <c r="C1178" s="1" t="s">
        <v>23</v>
      </c>
      <c r="D1178" s="1">
        <v>1700</v>
      </c>
      <c r="E1178" s="1">
        <v>1590</v>
      </c>
      <c r="F1178" s="1">
        <v>1360</v>
      </c>
      <c r="G1178" s="1">
        <v>210850</v>
      </c>
    </row>
    <row r="1179" spans="1:7" x14ac:dyDescent="0.25">
      <c r="A1179" s="1" t="s">
        <v>1394</v>
      </c>
      <c r="B1179" s="2" t="str">
        <f>HYPERLINK("https://www.elsevier.com/locate/issn/2949-7418", "Geohazard Mechanics")</f>
        <v>Geohazard Mechanics</v>
      </c>
      <c r="C1179" s="1" t="s">
        <v>34</v>
      </c>
      <c r="D1179" s="1" t="s">
        <v>324</v>
      </c>
      <c r="E1179" s="1" t="s">
        <v>324</v>
      </c>
      <c r="F1179" s="1" t="s">
        <v>324</v>
      </c>
      <c r="G1179" s="1" t="s">
        <v>324</v>
      </c>
    </row>
    <row r="1180" spans="1:7" x14ac:dyDescent="0.25">
      <c r="A1180" s="1" t="s">
        <v>1395</v>
      </c>
      <c r="B1180" s="2" t="str">
        <f>HYPERLINK("https://www.elsevier.com/locate/issn/1195-1036", "Geomatica")</f>
        <v>Geomatica</v>
      </c>
      <c r="C1180" s="1" t="s">
        <v>23</v>
      </c>
      <c r="D1180" s="1">
        <v>1650</v>
      </c>
      <c r="E1180" s="1">
        <v>1540</v>
      </c>
      <c r="F1180" s="1">
        <v>1320</v>
      </c>
      <c r="G1180" s="1">
        <v>204650</v>
      </c>
    </row>
    <row r="1181" spans="1:7" x14ac:dyDescent="0.25">
      <c r="A1181" s="1" t="s">
        <v>1396</v>
      </c>
      <c r="B1181" s="2" t="str">
        <f>HYPERLINK("https://www.elsevier.com/locate/issn/2352-3808", "Geomechanics for Energy and the Environment")</f>
        <v>Geomechanics for Energy and the Environment</v>
      </c>
      <c r="C1181" s="1" t="s">
        <v>10</v>
      </c>
      <c r="D1181" s="1">
        <v>3050</v>
      </c>
      <c r="E1181" s="1">
        <v>2850</v>
      </c>
      <c r="F1181" s="1">
        <v>2440</v>
      </c>
      <c r="G1181" s="1">
        <v>378290</v>
      </c>
    </row>
    <row r="1182" spans="1:7" x14ac:dyDescent="0.25">
      <c r="A1182" s="1" t="s">
        <v>1397</v>
      </c>
      <c r="B1182" s="2" t="str">
        <f>HYPERLINK("https://www.elsevier.com/locate/issn/0169-555X", "Geomorphology")</f>
        <v>Geomorphology</v>
      </c>
      <c r="C1182" s="1" t="s">
        <v>10</v>
      </c>
      <c r="D1182" s="1">
        <v>3400</v>
      </c>
      <c r="E1182" s="1">
        <v>3180</v>
      </c>
      <c r="F1182" s="1">
        <v>2720</v>
      </c>
      <c r="G1182" s="1">
        <v>421700</v>
      </c>
    </row>
    <row r="1183" spans="1:7" x14ac:dyDescent="0.25">
      <c r="A1183" s="1" t="s">
        <v>1398</v>
      </c>
      <c r="B1183" s="2" t="str">
        <f>HYPERLINK("https://www.elsevier.com/locate/issn/3050-7138", "Geopsychiatry")</f>
        <v>Geopsychiatry</v>
      </c>
      <c r="C1183" s="1" t="s">
        <v>23</v>
      </c>
      <c r="D1183" s="1">
        <v>2500</v>
      </c>
      <c r="E1183" s="1">
        <v>2340</v>
      </c>
      <c r="F1183" s="1">
        <v>2000</v>
      </c>
      <c r="G1183" s="1">
        <v>310080</v>
      </c>
    </row>
    <row r="1184" spans="1:7" x14ac:dyDescent="0.25">
      <c r="A1184" s="1" t="s">
        <v>1399</v>
      </c>
      <c r="B1184" s="2" t="str">
        <f>HYPERLINK("https://www.elsevier.com/locate/issn/1674-9871", "Geoscience Frontiers")</f>
        <v>Geoscience Frontiers</v>
      </c>
      <c r="C1184" s="1" t="s">
        <v>23</v>
      </c>
      <c r="D1184" s="1">
        <v>3000</v>
      </c>
      <c r="E1184" s="1">
        <v>2810</v>
      </c>
      <c r="F1184" s="1">
        <v>2400</v>
      </c>
      <c r="G1184" s="1">
        <v>372090</v>
      </c>
    </row>
    <row r="1185" spans="1:7" x14ac:dyDescent="0.25">
      <c r="A1185" s="1" t="s">
        <v>1400</v>
      </c>
      <c r="B1185" s="2" t="str">
        <f>HYPERLINK("https://www.elsevier.com/locate/issn/2772-8838", "Geosystems and Geoenvironment")</f>
        <v>Geosystems and Geoenvironment</v>
      </c>
      <c r="C1185" s="1" t="s">
        <v>23</v>
      </c>
      <c r="D1185" s="1">
        <v>2000</v>
      </c>
      <c r="E1185" s="1">
        <v>1870</v>
      </c>
      <c r="F1185" s="1">
        <v>1600</v>
      </c>
      <c r="G1185" s="1">
        <v>248060</v>
      </c>
    </row>
    <row r="1186" spans="1:7" x14ac:dyDescent="0.25">
      <c r="A1186" s="1" t="s">
        <v>1401</v>
      </c>
      <c r="B1186" s="2" t="str">
        <f>HYPERLINK("https://www.elsevier.com/locate/issn/0266-1144", "Geotextiles and Geomembranes")</f>
        <v>Geotextiles and Geomembranes</v>
      </c>
      <c r="C1186" s="1" t="s">
        <v>10</v>
      </c>
      <c r="D1186" s="1">
        <v>3850</v>
      </c>
      <c r="E1186" s="1">
        <v>3600</v>
      </c>
      <c r="F1186" s="1">
        <v>3080</v>
      </c>
      <c r="G1186" s="1">
        <v>477520</v>
      </c>
    </row>
    <row r="1187" spans="1:7" x14ac:dyDescent="0.25">
      <c r="A1187" s="1" t="s">
        <v>1402</v>
      </c>
      <c r="B1187" s="2" t="str">
        <f>HYPERLINK("https://www.elsevier.com/locate/issn/0375-6505", "Geothermics")</f>
        <v>Geothermics</v>
      </c>
      <c r="C1187" s="1" t="s">
        <v>10</v>
      </c>
      <c r="D1187" s="1">
        <v>3220</v>
      </c>
      <c r="E1187" s="1">
        <v>3010</v>
      </c>
      <c r="F1187" s="1">
        <v>2580</v>
      </c>
      <c r="G1187" s="1">
        <v>399380</v>
      </c>
    </row>
    <row r="1188" spans="1:7" x14ac:dyDescent="0.25">
      <c r="A1188" s="1" t="s">
        <v>1403</v>
      </c>
      <c r="B1188" s="2" t="str">
        <f>HYPERLINK("https://www.elsevier.com/locate/issn/0197-4572", "Geriatric Nursing")</f>
        <v>Geriatric Nursing</v>
      </c>
      <c r="C1188" s="1" t="s">
        <v>10</v>
      </c>
      <c r="D1188" s="1">
        <v>3280</v>
      </c>
      <c r="E1188" s="1">
        <v>3070</v>
      </c>
      <c r="F1188" s="1">
        <v>2630</v>
      </c>
      <c r="G1188" s="1">
        <v>406820</v>
      </c>
    </row>
    <row r="1189" spans="1:7" x14ac:dyDescent="0.25">
      <c r="A1189" s="1" t="s">
        <v>1404</v>
      </c>
      <c r="B1189" s="2" t="str">
        <f>HYPERLINK("https://www.elsevier.com/locate/issn/2666-5425", "Giant")</f>
        <v>Giant</v>
      </c>
      <c r="C1189" s="1" t="s">
        <v>23</v>
      </c>
      <c r="D1189" s="1">
        <v>2890</v>
      </c>
      <c r="E1189" s="1">
        <v>2700</v>
      </c>
      <c r="F1189" s="1">
        <v>2310</v>
      </c>
      <c r="G1189" s="1">
        <v>358450</v>
      </c>
    </row>
    <row r="1190" spans="1:7" x14ac:dyDescent="0.25">
      <c r="A1190" s="1" t="s">
        <v>1405</v>
      </c>
      <c r="B1190" s="2" t="str">
        <f>HYPERLINK("https://www.elsevier.com/locate/issn/2950-4074", "Glial Health Research")</f>
        <v>Glial Health Research</v>
      </c>
      <c r="C1190" s="1" t="s">
        <v>23</v>
      </c>
      <c r="D1190" s="1">
        <v>1950</v>
      </c>
      <c r="E1190" s="1">
        <v>1820</v>
      </c>
      <c r="F1190" s="1">
        <v>1560</v>
      </c>
      <c r="G1190" s="1">
        <v>241860</v>
      </c>
    </row>
    <row r="1191" spans="1:7" x14ac:dyDescent="0.25">
      <c r="A1191" s="1" t="s">
        <v>1406</v>
      </c>
      <c r="B1191" s="2" t="str">
        <f>HYPERLINK("https://www.elsevier.com/locate/issn/2950-4740", "Global and Earth Surface Processes Change")</f>
        <v>Global and Earth Surface Processes Change</v>
      </c>
      <c r="C1191" s="1" t="s">
        <v>23</v>
      </c>
      <c r="D1191" s="1">
        <v>2150</v>
      </c>
      <c r="E1191" s="1">
        <v>2010</v>
      </c>
      <c r="F1191" s="1">
        <v>1720</v>
      </c>
      <c r="G1191" s="1">
        <v>266660</v>
      </c>
    </row>
    <row r="1192" spans="1:7" x14ac:dyDescent="0.25">
      <c r="A1192" s="1" t="s">
        <v>1407</v>
      </c>
      <c r="B1192" s="2" t="str">
        <f>HYPERLINK("https://www.elsevier.com/locate/issn/0921-8181", "Global and Planetary Change")</f>
        <v>Global and Planetary Change</v>
      </c>
      <c r="C1192" s="1" t="s">
        <v>10</v>
      </c>
      <c r="D1192" s="1">
        <v>3120</v>
      </c>
      <c r="E1192" s="1">
        <v>2920</v>
      </c>
      <c r="F1192" s="1">
        <v>2500</v>
      </c>
      <c r="G1192" s="1">
        <v>386970</v>
      </c>
    </row>
    <row r="1193" spans="1:7" x14ac:dyDescent="0.25">
      <c r="A1193" s="1" t="s">
        <v>1408</v>
      </c>
      <c r="B1193" s="2" t="str">
        <f>HYPERLINK("https://www.elsevier.com/locate/issn/3050-502X", "Global Challenges &amp; Regional Science")</f>
        <v>Global Challenges &amp; Regional Science</v>
      </c>
      <c r="C1193" s="1" t="s">
        <v>23</v>
      </c>
      <c r="D1193" s="1">
        <v>1800</v>
      </c>
      <c r="E1193" s="1">
        <v>1680</v>
      </c>
      <c r="F1193" s="1">
        <v>1440</v>
      </c>
      <c r="G1193" s="1">
        <v>223250</v>
      </c>
    </row>
    <row r="1194" spans="1:7" x14ac:dyDescent="0.25">
      <c r="A1194" s="1" t="s">
        <v>1409</v>
      </c>
      <c r="B1194" s="2" t="str">
        <f>HYPERLINK("https://www.elsevier.com/locate/issn/2351-9894", "Global Ecology and Conservation")</f>
        <v>Global Ecology and Conservation</v>
      </c>
      <c r="C1194" s="1" t="s">
        <v>23</v>
      </c>
      <c r="D1194" s="1">
        <v>2710</v>
      </c>
      <c r="E1194" s="1">
        <v>2540</v>
      </c>
      <c r="F1194" s="1">
        <v>2170</v>
      </c>
      <c r="G1194" s="1">
        <v>336120</v>
      </c>
    </row>
    <row r="1195" spans="1:7" x14ac:dyDescent="0.25">
      <c r="A1195" s="1" t="s">
        <v>1410</v>
      </c>
      <c r="B1195" s="2" t="str">
        <f>HYPERLINK("https://www.elsevier.com/locate/issn/3050-8037", "Global Economics Research")</f>
        <v>Global Economics Research</v>
      </c>
      <c r="C1195" s="1" t="s">
        <v>10</v>
      </c>
      <c r="D1195" s="1">
        <v>3000</v>
      </c>
      <c r="E1195" s="1">
        <v>2810</v>
      </c>
      <c r="F1195" s="1">
        <v>2400</v>
      </c>
      <c r="G1195" s="1">
        <v>372090</v>
      </c>
    </row>
    <row r="1196" spans="1:7" x14ac:dyDescent="0.25">
      <c r="A1196" s="1" t="s">
        <v>1411</v>
      </c>
      <c r="B1196" s="2" t="str">
        <f>HYPERLINK("https://www.elsevier.com/locate/issn/2096-5117", "Global Energy Interconnection")</f>
        <v>Global Energy Interconnection</v>
      </c>
      <c r="C1196" s="1" t="s">
        <v>34</v>
      </c>
      <c r="D1196" s="1" t="s">
        <v>324</v>
      </c>
      <c r="E1196" s="1" t="s">
        <v>324</v>
      </c>
      <c r="F1196" s="1" t="s">
        <v>324</v>
      </c>
      <c r="G1196" s="1" t="s">
        <v>324</v>
      </c>
    </row>
    <row r="1197" spans="1:7" x14ac:dyDescent="0.25">
      <c r="A1197" s="1" t="s">
        <v>1412</v>
      </c>
      <c r="B1197" s="2" t="str">
        <f>HYPERLINK("https://www.elsevier.com/locate/issn/0959-3780", "Global Environmental Change")</f>
        <v>Global Environmental Change</v>
      </c>
      <c r="C1197" s="1" t="s">
        <v>10</v>
      </c>
      <c r="D1197" s="1">
        <v>6440</v>
      </c>
      <c r="E1197" s="1">
        <v>6020</v>
      </c>
      <c r="F1197" s="1">
        <v>5160</v>
      </c>
      <c r="G1197" s="1">
        <v>798750</v>
      </c>
    </row>
    <row r="1198" spans="1:7" x14ac:dyDescent="0.25">
      <c r="A1198" s="1" t="s">
        <v>1413</v>
      </c>
      <c r="B1198" s="2" t="str">
        <f>HYPERLINK("https://www.elsevier.com/locate/issn/2950-1385", "Global Environmental Change Advances")</f>
        <v>Global Environmental Change Advances</v>
      </c>
      <c r="C1198" s="1" t="s">
        <v>23</v>
      </c>
      <c r="D1198" s="1">
        <v>1950</v>
      </c>
      <c r="E1198" s="1">
        <v>1820</v>
      </c>
      <c r="F1198" s="1">
        <v>1560</v>
      </c>
      <c r="G1198" s="1">
        <v>241860</v>
      </c>
    </row>
    <row r="1199" spans="1:7" x14ac:dyDescent="0.25">
      <c r="A1199" s="1" t="s">
        <v>1414</v>
      </c>
      <c r="B1199" s="2" t="str">
        <f>HYPERLINK("https://www.elsevier.com/locate/issn/2590-1133", "Global Epidemiology")</f>
        <v>Global Epidemiology</v>
      </c>
      <c r="C1199" s="1" t="s">
        <v>23</v>
      </c>
      <c r="D1199" s="1">
        <v>2670</v>
      </c>
      <c r="E1199" s="1">
        <v>2500</v>
      </c>
      <c r="F1199" s="1">
        <v>2140</v>
      </c>
      <c r="G1199" s="1">
        <v>331160</v>
      </c>
    </row>
    <row r="1200" spans="1:7" x14ac:dyDescent="0.25">
      <c r="A1200" s="1" t="s">
        <v>1415</v>
      </c>
      <c r="B1200" s="2" t="str">
        <f>HYPERLINK("https://www.elsevier.com/locate/issn/1044-0283", "Global Finance Journal")</f>
        <v>Global Finance Journal</v>
      </c>
      <c r="C1200" s="1" t="s">
        <v>10</v>
      </c>
      <c r="D1200" s="1">
        <v>2860</v>
      </c>
      <c r="E1200" s="1">
        <v>2680</v>
      </c>
      <c r="F1200" s="1">
        <v>2290</v>
      </c>
      <c r="G1200" s="1">
        <v>354730</v>
      </c>
    </row>
    <row r="1201" spans="1:7" x14ac:dyDescent="0.25">
      <c r="A1201" s="1" t="s">
        <v>1416</v>
      </c>
      <c r="B1201" s="2" t="str">
        <f>HYPERLINK("https://www.elsevier.com/locate/issn/2211-9124", "Global Food Security")</f>
        <v>Global Food Security</v>
      </c>
      <c r="C1201" s="1" t="s">
        <v>10</v>
      </c>
      <c r="D1201" s="1">
        <v>5240</v>
      </c>
      <c r="E1201" s="1">
        <v>4900</v>
      </c>
      <c r="F1201" s="1">
        <v>4200</v>
      </c>
      <c r="G1201" s="1">
        <v>649920</v>
      </c>
    </row>
    <row r="1202" spans="1:7" x14ac:dyDescent="0.25">
      <c r="A1202" s="1" t="s">
        <v>1417</v>
      </c>
      <c r="B1202" s="2" t="str">
        <f>HYPERLINK("https://www.elsevier.com/locate/issn/2414-6447", "Global Health Journal")</f>
        <v>Global Health Journal</v>
      </c>
      <c r="C1202" s="1" t="s">
        <v>34</v>
      </c>
      <c r="D1202" s="1" t="s">
        <v>324</v>
      </c>
      <c r="E1202" s="1" t="s">
        <v>324</v>
      </c>
      <c r="F1202" s="1" t="s">
        <v>324</v>
      </c>
      <c r="G1202" s="1" t="s">
        <v>324</v>
      </c>
    </row>
    <row r="1203" spans="1:7" x14ac:dyDescent="0.25">
      <c r="A1203" s="1" t="s">
        <v>1418</v>
      </c>
      <c r="B1203" s="2" t="str">
        <f>HYPERLINK("https://www.elsevier.com/locate/issn/2699-9404", "Global Medical Genetics")</f>
        <v>Global Medical Genetics</v>
      </c>
      <c r="C1203" s="1" t="s">
        <v>34</v>
      </c>
      <c r="D1203" s="1">
        <v>1500</v>
      </c>
      <c r="E1203" s="1">
        <v>1400</v>
      </c>
      <c r="F1203" s="1">
        <v>1200</v>
      </c>
      <c r="G1203" s="1">
        <v>186050</v>
      </c>
    </row>
    <row r="1204" spans="1:7" x14ac:dyDescent="0.25">
      <c r="A1204" s="1" t="s">
        <v>1419</v>
      </c>
      <c r="B1204" s="2" t="str">
        <f>HYPERLINK("https://www.elsevier.com/locate/issn/3051-2484", "Global Neurological Insights")</f>
        <v>Global Neurological Insights</v>
      </c>
      <c r="C1204" s="1" t="s">
        <v>23</v>
      </c>
      <c r="D1204" s="1">
        <v>2500</v>
      </c>
      <c r="E1204" s="1">
        <v>2340</v>
      </c>
      <c r="F1204" s="1">
        <v>2000</v>
      </c>
      <c r="G1204" s="1">
        <v>310080</v>
      </c>
    </row>
    <row r="1205" spans="1:7" x14ac:dyDescent="0.25">
      <c r="A1205" s="1" t="s">
        <v>1420</v>
      </c>
      <c r="B1205" s="2" t="str">
        <f>HYPERLINK("https://www.elsevier.com/locate/issn/2667-0097", "Global Pediatrics")</f>
        <v>Global Pediatrics</v>
      </c>
      <c r="C1205" s="1" t="s">
        <v>23</v>
      </c>
      <c r="D1205" s="1">
        <v>2120</v>
      </c>
      <c r="E1205" s="1">
        <v>1980</v>
      </c>
      <c r="F1205" s="1">
        <v>1700</v>
      </c>
      <c r="G1205" s="1">
        <v>262940</v>
      </c>
    </row>
    <row r="1206" spans="1:7" x14ac:dyDescent="0.25">
      <c r="A1206" s="1" t="s">
        <v>1421</v>
      </c>
      <c r="B1206" s="2" t="str">
        <f>HYPERLINK("https://www.elsevier.com/locate/issn/2589-7918", "Global Transitions")</f>
        <v>Global Transitions</v>
      </c>
      <c r="C1206" s="1" t="s">
        <v>34</v>
      </c>
      <c r="D1206" s="1">
        <v>900</v>
      </c>
      <c r="E1206" s="1">
        <v>840</v>
      </c>
      <c r="F1206" s="1">
        <v>720</v>
      </c>
      <c r="G1206" s="1">
        <v>111630</v>
      </c>
    </row>
    <row r="1207" spans="1:7" x14ac:dyDescent="0.25">
      <c r="A1207" s="1" t="s">
        <v>1422</v>
      </c>
      <c r="B1207" s="2" t="str">
        <f>HYPERLINK("https://www.elsevier.com/locate/issn/2666-285X", "Global Transitions Proceedings")</f>
        <v>Global Transitions Proceedings</v>
      </c>
      <c r="C1207" s="1" t="s">
        <v>23</v>
      </c>
      <c r="D1207" s="1">
        <v>250</v>
      </c>
      <c r="E1207" s="1">
        <v>230</v>
      </c>
      <c r="F1207" s="1">
        <v>200</v>
      </c>
      <c r="G1207" s="1">
        <v>31010</v>
      </c>
    </row>
    <row r="1208" spans="1:7" x14ac:dyDescent="0.25">
      <c r="A1208" s="1" t="s">
        <v>1423</v>
      </c>
      <c r="B1208" s="2" t="str">
        <f>HYPERLINK("https://www.elsevier.com/locate/issn/3050-6085", "Glycoscience &amp; Therapy")</f>
        <v>Glycoscience &amp; Therapy</v>
      </c>
      <c r="C1208" s="1" t="s">
        <v>34</v>
      </c>
      <c r="D1208" s="1" t="s">
        <v>324</v>
      </c>
      <c r="E1208" s="1" t="s">
        <v>324</v>
      </c>
      <c r="F1208" s="1" t="s">
        <v>324</v>
      </c>
      <c r="G1208" s="1" t="s">
        <v>324</v>
      </c>
    </row>
    <row r="1209" spans="1:7" x14ac:dyDescent="0.25">
      <c r="A1209" s="1" t="s">
        <v>1424</v>
      </c>
      <c r="B1209" s="2" t="str">
        <f>HYPERLINK("https://www.elsevier.com/locate/issn/1342-937X", "Gondwana Research")</f>
        <v>Gondwana Research</v>
      </c>
      <c r="C1209" s="1" t="s">
        <v>10</v>
      </c>
      <c r="D1209" s="1">
        <v>3700</v>
      </c>
      <c r="E1209" s="1">
        <v>3460</v>
      </c>
      <c r="F1209" s="1">
        <v>2960</v>
      </c>
      <c r="G1209" s="1">
        <v>458910</v>
      </c>
    </row>
    <row r="1210" spans="1:7" x14ac:dyDescent="0.25">
      <c r="A1210" s="1" t="s">
        <v>1425</v>
      </c>
      <c r="B1210" s="2" t="str">
        <f>HYPERLINK("https://www.elsevier.com/locate/issn/0740-624X", "Government Information Quarterly")</f>
        <v>Government Information Quarterly</v>
      </c>
      <c r="C1210" s="1" t="s">
        <v>10</v>
      </c>
      <c r="D1210" s="1">
        <v>4360</v>
      </c>
      <c r="E1210" s="1">
        <v>4080</v>
      </c>
      <c r="F1210" s="1">
        <v>3490</v>
      </c>
      <c r="G1210" s="1">
        <v>540770</v>
      </c>
    </row>
    <row r="1211" spans="1:7" x14ac:dyDescent="0.25">
      <c r="A1211" s="1" t="s">
        <v>1426</v>
      </c>
      <c r="B1211" s="2" t="str">
        <f>HYPERLINK("https://www.elsevier.com/locate/issn/2590-2598", "Grain &amp; Oil Science and Technology")</f>
        <v>Grain &amp; Oil Science and Technology</v>
      </c>
      <c r="C1211" s="1" t="s">
        <v>34</v>
      </c>
      <c r="D1211" s="1" t="s">
        <v>324</v>
      </c>
      <c r="E1211" s="1" t="s">
        <v>324</v>
      </c>
      <c r="F1211" s="1" t="s">
        <v>324</v>
      </c>
      <c r="G1211" s="1" t="s">
        <v>324</v>
      </c>
    </row>
    <row r="1212" spans="1:7" x14ac:dyDescent="0.25">
      <c r="A1212" s="1" t="s">
        <v>1427</v>
      </c>
      <c r="B1212" s="2" t="str">
        <f>HYPERLINK("https://www.elsevier.com/locate/issn/1524-0703", "Graphical Models")</f>
        <v>Graphical Models</v>
      </c>
      <c r="C1212" s="1" t="s">
        <v>23</v>
      </c>
      <c r="D1212" s="1">
        <v>2180</v>
      </c>
      <c r="E1212" s="1">
        <v>2040</v>
      </c>
      <c r="F1212" s="1">
        <v>1750</v>
      </c>
      <c r="G1212" s="1">
        <v>270390</v>
      </c>
    </row>
    <row r="1213" spans="1:7" x14ac:dyDescent="0.25">
      <c r="A1213" s="1" t="s">
        <v>1428</v>
      </c>
      <c r="B1213" s="2" t="str">
        <f>HYPERLINK("https://www.elsevier.com/locate/issn/2772-5774", "Green Analytical Chemistry")</f>
        <v>Green Analytical Chemistry</v>
      </c>
      <c r="C1213" s="1" t="s">
        <v>23</v>
      </c>
      <c r="D1213" s="1">
        <v>1550</v>
      </c>
      <c r="E1213" s="1">
        <v>1450</v>
      </c>
      <c r="F1213" s="1">
        <v>1240</v>
      </c>
      <c r="G1213" s="1">
        <v>192250</v>
      </c>
    </row>
    <row r="1214" spans="1:7" x14ac:dyDescent="0.25">
      <c r="A1214" s="1" t="s">
        <v>1429</v>
      </c>
      <c r="B1214" s="2" t="str">
        <f>HYPERLINK("https://www.elsevier.com/locate/issn/2950-5550", "Green and Smart Mining Engineering")</f>
        <v>Green and Smart Mining Engineering</v>
      </c>
      <c r="C1214" s="1" t="s">
        <v>34</v>
      </c>
      <c r="D1214" s="1" t="s">
        <v>324</v>
      </c>
      <c r="E1214" s="1" t="s">
        <v>324</v>
      </c>
      <c r="F1214" s="1" t="s">
        <v>324</v>
      </c>
      <c r="G1214" s="1" t="s">
        <v>324</v>
      </c>
    </row>
    <row r="1215" spans="1:7" x14ac:dyDescent="0.25">
      <c r="A1215" s="1" t="s">
        <v>1430</v>
      </c>
      <c r="B1215" s="2" t="str">
        <f>HYPERLINK("https://www.elsevier.com/locate/issn/2950-1555", "Green Carbon")</f>
        <v>Green Carbon</v>
      </c>
      <c r="C1215" s="1" t="s">
        <v>34</v>
      </c>
      <c r="D1215" s="1" t="s">
        <v>324</v>
      </c>
      <c r="E1215" s="1" t="s">
        <v>324</v>
      </c>
      <c r="F1215" s="1" t="s">
        <v>324</v>
      </c>
      <c r="G1215" s="1" t="s">
        <v>324</v>
      </c>
    </row>
    <row r="1216" spans="1:7" x14ac:dyDescent="0.25">
      <c r="A1216" s="1" t="s">
        <v>1431</v>
      </c>
      <c r="B1216" s="2" t="str">
        <f>HYPERLINK("https://www.elsevier.com/locate/issn/2666-9528", "Green Chemical Engineering")</f>
        <v>Green Chemical Engineering</v>
      </c>
      <c r="C1216" s="1" t="s">
        <v>34</v>
      </c>
      <c r="D1216" s="1" t="s">
        <v>324</v>
      </c>
      <c r="E1216" s="1" t="s">
        <v>324</v>
      </c>
      <c r="F1216" s="1" t="s">
        <v>324</v>
      </c>
      <c r="G1216" s="1" t="s">
        <v>324</v>
      </c>
    </row>
    <row r="1217" spans="1:7" x14ac:dyDescent="0.25">
      <c r="A1217" s="1" t="s">
        <v>1432</v>
      </c>
      <c r="B1217" s="2" t="str">
        <f>HYPERLINK("https://www.elsevier.com/locate/issn/2468-0257", "Green Energy &amp; Environment")</f>
        <v>Green Energy &amp; Environment</v>
      </c>
      <c r="C1217" s="1" t="s">
        <v>34</v>
      </c>
      <c r="D1217" s="1" t="s">
        <v>324</v>
      </c>
      <c r="E1217" s="1" t="s">
        <v>324</v>
      </c>
      <c r="F1217" s="1" t="s">
        <v>324</v>
      </c>
      <c r="G1217" s="1" t="s">
        <v>324</v>
      </c>
    </row>
    <row r="1218" spans="1:7" x14ac:dyDescent="0.25">
      <c r="A1218" s="1" t="s">
        <v>1433</v>
      </c>
      <c r="B1218" s="2" t="str">
        <f>HYPERLINK("https://www.elsevier.com/locate/issn/2773-1537", "Green Energy and Intelligent Transportation")</f>
        <v>Green Energy and Intelligent Transportation</v>
      </c>
      <c r="C1218" s="1" t="s">
        <v>23</v>
      </c>
      <c r="D1218" s="1">
        <v>2340</v>
      </c>
      <c r="E1218" s="1">
        <v>2190</v>
      </c>
      <c r="F1218" s="1">
        <v>1870</v>
      </c>
      <c r="G1218" s="1">
        <v>290230</v>
      </c>
    </row>
    <row r="1219" spans="1:7" x14ac:dyDescent="0.25">
      <c r="A1219" s="1" t="s">
        <v>1434</v>
      </c>
      <c r="B1219" s="2" t="str">
        <f>HYPERLINK("https://www.elsevier.com/locate/issn/2949-7205", "Green Energy and Resources")</f>
        <v>Green Energy and Resources</v>
      </c>
      <c r="C1219" s="1" t="s">
        <v>23</v>
      </c>
      <c r="D1219" s="1">
        <v>1500</v>
      </c>
      <c r="E1219" s="1">
        <v>1400</v>
      </c>
      <c r="F1219" s="1">
        <v>1200</v>
      </c>
      <c r="G1219" s="1">
        <v>186050</v>
      </c>
    </row>
    <row r="1220" spans="1:7" x14ac:dyDescent="0.25">
      <c r="A1220" s="1" t="s">
        <v>1435</v>
      </c>
      <c r="B1220" s="2" t="str">
        <f>HYPERLINK("https://www.elsevier.com/locate/issn/2666-5549", "Green Synthesis and Catalysis")</f>
        <v>Green Synthesis and Catalysis</v>
      </c>
      <c r="C1220" s="1" t="s">
        <v>34</v>
      </c>
      <c r="D1220" s="1" t="s">
        <v>324</v>
      </c>
      <c r="E1220" s="1" t="s">
        <v>324</v>
      </c>
      <c r="F1220" s="1" t="s">
        <v>324</v>
      </c>
      <c r="G1220" s="1" t="s">
        <v>324</v>
      </c>
    </row>
    <row r="1221" spans="1:7" x14ac:dyDescent="0.25">
      <c r="A1221" s="1" t="s">
        <v>1436</v>
      </c>
      <c r="B1221" s="2" t="str">
        <f>HYPERLINK("https://www.elsevier.com/locate/issn/2949-7361", "Green Technologies and Sustainability")</f>
        <v>Green Technologies and Sustainability</v>
      </c>
      <c r="C1221" s="1" t="s">
        <v>34</v>
      </c>
      <c r="D1221" s="1">
        <v>400</v>
      </c>
      <c r="E1221" s="1">
        <v>370</v>
      </c>
      <c r="F1221" s="1">
        <v>320</v>
      </c>
      <c r="G1221" s="1">
        <v>49610</v>
      </c>
    </row>
    <row r="1222" spans="1:7" x14ac:dyDescent="0.25">
      <c r="A1222" s="1" t="s">
        <v>1437</v>
      </c>
      <c r="B1222" s="2" t="str">
        <f>HYPERLINK("https://www.elsevier.com/locate/issn/2352-801X", "Groundwater for Sustainable Development")</f>
        <v>Groundwater for Sustainable Development</v>
      </c>
      <c r="C1222" s="1" t="s">
        <v>10</v>
      </c>
      <c r="D1222" s="1">
        <v>3640</v>
      </c>
      <c r="E1222" s="1">
        <v>3410</v>
      </c>
      <c r="F1222" s="1">
        <v>2910</v>
      </c>
      <c r="G1222" s="1">
        <v>451470</v>
      </c>
    </row>
    <row r="1223" spans="1:7" x14ac:dyDescent="0.25">
      <c r="A1223" s="1" t="s">
        <v>1438</v>
      </c>
      <c r="B1223" s="2" t="str">
        <f>HYPERLINK("https://www.elsevier.com/locate/issn/1096-6374", "Growth Hormone &amp; IGF Research")</f>
        <v>Growth Hormone &amp; IGF Research</v>
      </c>
      <c r="C1223" s="1" t="s">
        <v>10</v>
      </c>
      <c r="D1223" s="1">
        <v>3570</v>
      </c>
      <c r="E1223" s="1">
        <v>3340</v>
      </c>
      <c r="F1223" s="1">
        <v>2860</v>
      </c>
      <c r="G1223" s="1">
        <v>442790</v>
      </c>
    </row>
    <row r="1224" spans="1:7" x14ac:dyDescent="0.25">
      <c r="A1224" s="1" t="s">
        <v>1439</v>
      </c>
      <c r="B1224" s="2" t="str">
        <f>HYPERLINK("https://www.elsevier.com/locate/issn/3051-1720", "Gut Microbiology")</f>
        <v>Gut Microbiology</v>
      </c>
      <c r="C1224" s="1" t="s">
        <v>23</v>
      </c>
      <c r="D1224" s="1">
        <v>3500</v>
      </c>
      <c r="E1224" s="1">
        <v>3270</v>
      </c>
      <c r="F1224" s="1">
        <v>2800</v>
      </c>
      <c r="G1224" s="1">
        <v>434110</v>
      </c>
    </row>
    <row r="1225" spans="1:7" x14ac:dyDescent="0.25">
      <c r="A1225" s="1" t="s">
        <v>1440</v>
      </c>
      <c r="B1225" s="2" t="str">
        <f>HYPERLINK("https://www.elsevier.com/locate/issn/0090-8258", "Gynecologic Oncology")</f>
        <v>Gynecologic Oncology</v>
      </c>
      <c r="C1225" s="1" t="s">
        <v>10</v>
      </c>
      <c r="D1225" s="1">
        <v>4380</v>
      </c>
      <c r="E1225" s="1">
        <v>4100</v>
      </c>
      <c r="F1225" s="1">
        <v>3510</v>
      </c>
      <c r="G1225" s="1">
        <v>543250</v>
      </c>
    </row>
    <row r="1226" spans="1:7" x14ac:dyDescent="0.25">
      <c r="A1226" s="1" t="s">
        <v>1441</v>
      </c>
      <c r="B1226" s="2" t="str">
        <f>HYPERLINK("https://www.elsevier.com/locate/issn/2352-5789", "Gynecologic Oncology Reports")</f>
        <v>Gynecologic Oncology Reports</v>
      </c>
      <c r="C1226" s="1" t="s">
        <v>23</v>
      </c>
      <c r="D1226" s="1">
        <v>930</v>
      </c>
      <c r="E1226" s="1">
        <v>870</v>
      </c>
      <c r="F1226" s="1">
        <v>740</v>
      </c>
      <c r="G1226" s="1">
        <v>115350</v>
      </c>
    </row>
    <row r="1227" spans="1:7" x14ac:dyDescent="0.25">
      <c r="A1227" s="1" t="s">
        <v>1442</v>
      </c>
      <c r="B1227" s="2" t="str">
        <f>HYPERLINK("https://www.elsevier.com/locate/issn/2667-1646", "Gynecology and Obstetrics Clinical Medicine")</f>
        <v>Gynecology and Obstetrics Clinical Medicine</v>
      </c>
      <c r="C1227" s="1" t="s">
        <v>34</v>
      </c>
      <c r="D1227" s="1" t="s">
        <v>324</v>
      </c>
      <c r="E1227" s="1" t="s">
        <v>324</v>
      </c>
      <c r="F1227" s="1" t="s">
        <v>324</v>
      </c>
      <c r="G1227" s="1" t="s">
        <v>324</v>
      </c>
    </row>
    <row r="1228" spans="1:7" x14ac:dyDescent="0.25">
      <c r="A1228" s="1" t="s">
        <v>1443</v>
      </c>
      <c r="B1228" s="2" t="str">
        <f>HYPERLINK("https://www.elsevier.com/locate/issn/2468-7189", "Gynécologie Obstétrique Fertilité &amp; Sénologie")</f>
        <v>Gynécologie Obstétrique Fertilité &amp; Sénologie</v>
      </c>
      <c r="C1228" s="1" t="s">
        <v>10</v>
      </c>
      <c r="D1228" s="1">
        <v>2820</v>
      </c>
      <c r="E1228" s="1">
        <v>2570</v>
      </c>
      <c r="F1228" s="1">
        <v>2260</v>
      </c>
      <c r="G1228" s="1">
        <v>349760</v>
      </c>
    </row>
    <row r="1229" spans="1:7" x14ac:dyDescent="0.25">
      <c r="A1229" s="1" t="s">
        <v>1444</v>
      </c>
      <c r="B1229" s="2" t="str">
        <f>HYPERLINK("https://www.elsevier.com/locate/issn/0197-3975", "Habitat International")</f>
        <v>Habitat International</v>
      </c>
      <c r="C1229" s="1" t="s">
        <v>10</v>
      </c>
      <c r="D1229" s="1">
        <v>3840</v>
      </c>
      <c r="E1229" s="1">
        <v>3590</v>
      </c>
      <c r="F1229" s="1">
        <v>3070</v>
      </c>
      <c r="G1229" s="1">
        <v>476280</v>
      </c>
    </row>
    <row r="1230" spans="1:7" x14ac:dyDescent="0.25">
      <c r="A1230" s="1" t="s">
        <v>1445</v>
      </c>
      <c r="B1230" s="2" t="str">
        <f>HYPERLINK("https://www.elsevier.com/locate/issn/2468-1229", "Hand Surgery and Rehabilitation ")</f>
        <v>Hand Surgery and Rehabilitation </v>
      </c>
      <c r="C1230" s="1" t="s">
        <v>10</v>
      </c>
      <c r="D1230" s="1">
        <v>3140</v>
      </c>
      <c r="E1230" s="1">
        <v>2860</v>
      </c>
      <c r="F1230" s="1">
        <v>2510</v>
      </c>
      <c r="G1230" s="1">
        <v>389450</v>
      </c>
    </row>
    <row r="1231" spans="1:7" x14ac:dyDescent="0.25">
      <c r="A1231" s="1" t="s">
        <v>1446</v>
      </c>
      <c r="B1231" s="2" t="str">
        <f>HYPERLINK("https://www.elsevier.com/locate/issn/2468-0672", "HardwareX")</f>
        <v>HardwareX</v>
      </c>
      <c r="C1231" s="1" t="s">
        <v>23</v>
      </c>
      <c r="D1231" s="1">
        <v>610</v>
      </c>
      <c r="E1231" s="1">
        <v>570</v>
      </c>
      <c r="F1231" s="1">
        <v>490</v>
      </c>
      <c r="G1231" s="1">
        <v>75660</v>
      </c>
    </row>
    <row r="1232" spans="1:7" x14ac:dyDescent="0.25">
      <c r="A1232" s="1" t="s">
        <v>1447</v>
      </c>
      <c r="B1232" s="2" t="str">
        <f>HYPERLINK("https://www.elsevier.com/locate/issn/1568-9883", "Harmful Algae")</f>
        <v>Harmful Algae</v>
      </c>
      <c r="C1232" s="1" t="s">
        <v>10</v>
      </c>
      <c r="D1232" s="1">
        <v>4910</v>
      </c>
      <c r="E1232" s="1">
        <v>4590</v>
      </c>
      <c r="F1232" s="1">
        <v>3930</v>
      </c>
      <c r="G1232" s="1">
        <v>608990</v>
      </c>
    </row>
    <row r="1233" spans="1:7" x14ac:dyDescent="0.25">
      <c r="A1233" s="1" t="s">
        <v>1448</v>
      </c>
      <c r="B1233" s="2" t="str">
        <f>HYPERLINK("https://www.elsevier.com/locate/issn/1353-8292", "Health &amp; Place")</f>
        <v>Health &amp; Place</v>
      </c>
      <c r="C1233" s="1" t="s">
        <v>10</v>
      </c>
      <c r="D1233" s="1">
        <v>3380</v>
      </c>
      <c r="E1233" s="1">
        <v>3160</v>
      </c>
      <c r="F1233" s="1">
        <v>2710</v>
      </c>
      <c r="G1233" s="1">
        <v>419220</v>
      </c>
    </row>
    <row r="1234" spans="1:7" x14ac:dyDescent="0.25">
      <c r="A1234" s="1" t="s">
        <v>1449</v>
      </c>
      <c r="B1234" s="2" t="str">
        <f>HYPERLINK("https://www.elsevier.com/locate/issn/2949-9232", "Health Care Transitions")</f>
        <v>Health Care Transitions</v>
      </c>
      <c r="C1234" s="1" t="s">
        <v>23</v>
      </c>
      <c r="D1234" s="1">
        <v>2050</v>
      </c>
      <c r="E1234" s="1">
        <v>1920</v>
      </c>
      <c r="F1234" s="1">
        <v>1640</v>
      </c>
      <c r="G1234" s="1">
        <v>254260</v>
      </c>
    </row>
    <row r="1235" spans="1:7" x14ac:dyDescent="0.25">
      <c r="A1235" s="1" t="s">
        <v>1450</v>
      </c>
      <c r="B1235" s="2" t="str">
        <f>HYPERLINK("https://www.elsevier.com/locate/issn/0168-8510", "Health Policy")</f>
        <v>Health Policy</v>
      </c>
      <c r="C1235" s="1" t="s">
        <v>10</v>
      </c>
      <c r="D1235" s="1">
        <v>4220</v>
      </c>
      <c r="E1235" s="1">
        <v>3950</v>
      </c>
      <c r="F1235" s="1">
        <v>3380</v>
      </c>
      <c r="G1235" s="1">
        <v>523410</v>
      </c>
    </row>
    <row r="1236" spans="1:7" x14ac:dyDescent="0.25">
      <c r="A1236" s="1" t="s">
        <v>1451</v>
      </c>
      <c r="B1236" s="2" t="str">
        <f>HYPERLINK("https://www.elsevier.com/locate/issn/2211-8837", "Health Policy and Technology")</f>
        <v>Health Policy and Technology</v>
      </c>
      <c r="C1236" s="1" t="s">
        <v>10</v>
      </c>
      <c r="D1236" s="1">
        <v>3000</v>
      </c>
      <c r="E1236" s="1">
        <v>2810</v>
      </c>
      <c r="F1236" s="1">
        <v>2400</v>
      </c>
      <c r="G1236" s="1">
        <v>372090</v>
      </c>
    </row>
    <row r="1237" spans="1:7" x14ac:dyDescent="0.25">
      <c r="A1237" s="1" t="s">
        <v>1452</v>
      </c>
      <c r="B1237" s="2" t="str">
        <f>HYPERLINK("https://www.elsevier.com/locate/issn/2590-2296", "Health Policy OPEN")</f>
        <v>Health Policy OPEN</v>
      </c>
      <c r="C1237" s="1" t="s">
        <v>23</v>
      </c>
      <c r="D1237" s="1">
        <v>2740</v>
      </c>
      <c r="E1237" s="1">
        <v>2560</v>
      </c>
      <c r="F1237" s="1">
        <v>2190</v>
      </c>
      <c r="G1237" s="1">
        <v>339840</v>
      </c>
    </row>
    <row r="1238" spans="1:7" x14ac:dyDescent="0.25">
      <c r="A1238" s="1" t="s">
        <v>1453</v>
      </c>
      <c r="B1238" s="2" t="str">
        <f>HYPERLINK("https://www.elsevier.com/locate/issn/2772-6320", "Health Sciences Review")</f>
        <v>Health Sciences Review</v>
      </c>
      <c r="C1238" s="1" t="s">
        <v>23</v>
      </c>
      <c r="D1238" s="1">
        <v>2020</v>
      </c>
      <c r="E1238" s="1">
        <v>1890</v>
      </c>
      <c r="F1238" s="1">
        <v>1620</v>
      </c>
      <c r="G1238" s="1">
        <v>250540</v>
      </c>
    </row>
    <row r="1239" spans="1:7" x14ac:dyDescent="0.25">
      <c r="A1239" s="1" t="s">
        <v>1454</v>
      </c>
      <c r="B1239" s="2" t="str">
        <f>HYPERLINK("https://www.elsevier.com/locate/issn/2772-4425", "Healthcare Analytics")</f>
        <v>Healthcare Analytics</v>
      </c>
      <c r="C1239" s="1" t="s">
        <v>23</v>
      </c>
      <c r="D1239" s="1">
        <v>1790</v>
      </c>
      <c r="E1239" s="1">
        <v>1670</v>
      </c>
      <c r="F1239" s="1">
        <v>1430</v>
      </c>
      <c r="G1239" s="1">
        <v>222010</v>
      </c>
    </row>
    <row r="1240" spans="1:7" x14ac:dyDescent="0.25">
      <c r="A1240" s="1" t="s">
        <v>1455</v>
      </c>
      <c r="B1240" s="2" t="str">
        <f>HYPERLINK("https://www.elsevier.com/locate/issn/3050-6131", "Healthcare and Rehabilitation")</f>
        <v>Healthcare and Rehabilitation</v>
      </c>
      <c r="C1240" s="1" t="s">
        <v>34</v>
      </c>
      <c r="D1240" s="1" t="s">
        <v>324</v>
      </c>
      <c r="E1240" s="1" t="s">
        <v>324</v>
      </c>
      <c r="F1240" s="1" t="s">
        <v>324</v>
      </c>
      <c r="G1240" s="1" t="s">
        <v>324</v>
      </c>
    </row>
    <row r="1241" spans="1:7" x14ac:dyDescent="0.25">
      <c r="A1241" s="1" t="s">
        <v>1456</v>
      </c>
      <c r="B1241" s="2" t="str">
        <f>HYPERLINK("https://www.elsevier.com/locate/issn/2213-0764", "Healthcare")</f>
        <v>Healthcare</v>
      </c>
      <c r="C1241" s="1" t="s">
        <v>10</v>
      </c>
      <c r="D1241" s="1">
        <v>3790</v>
      </c>
      <c r="E1241" s="1">
        <v>3550</v>
      </c>
      <c r="F1241" s="1">
        <v>3030</v>
      </c>
      <c r="G1241" s="1">
        <v>470070</v>
      </c>
    </row>
    <row r="1242" spans="1:7" x14ac:dyDescent="0.25">
      <c r="A1242" s="1" t="s">
        <v>1457</v>
      </c>
      <c r="B1242" s="2" t="str">
        <f>HYPERLINK("https://www.elsevier.com/locate/issn/0378-5955", "Hearing Research")</f>
        <v>Hearing Research</v>
      </c>
      <c r="C1242" s="1" t="s">
        <v>10</v>
      </c>
      <c r="D1242" s="1">
        <v>4130</v>
      </c>
      <c r="E1242" s="1">
        <v>3860</v>
      </c>
      <c r="F1242" s="1">
        <v>3310</v>
      </c>
      <c r="G1242" s="1">
        <v>512240</v>
      </c>
    </row>
    <row r="1243" spans="1:7" x14ac:dyDescent="0.25">
      <c r="A1243" s="1" t="s">
        <v>1458</v>
      </c>
      <c r="B1243" s="2" t="str">
        <f>HYPERLINK("https://www.elsevier.com/locate/issn/0147-9563", "Heart &amp; Lung")</f>
        <v>Heart &amp; Lung</v>
      </c>
      <c r="C1243" s="1" t="s">
        <v>10</v>
      </c>
      <c r="D1243" s="1">
        <v>3600</v>
      </c>
      <c r="E1243" s="1">
        <v>3370</v>
      </c>
      <c r="F1243" s="1">
        <v>2880</v>
      </c>
      <c r="G1243" s="1">
        <v>446510</v>
      </c>
    </row>
    <row r="1244" spans="1:7" x14ac:dyDescent="0.25">
      <c r="A1244" s="1" t="s">
        <v>1459</v>
      </c>
      <c r="B1244" s="2" t="str">
        <f>HYPERLINK("https://www.elsevier.com/locate/issn/1547-5271", "Heart Rhythm")</f>
        <v>Heart Rhythm</v>
      </c>
      <c r="C1244" s="1" t="s">
        <v>10</v>
      </c>
      <c r="D1244" s="1">
        <v>4790</v>
      </c>
      <c r="E1244" s="1">
        <v>4480</v>
      </c>
      <c r="F1244" s="1">
        <v>3830</v>
      </c>
      <c r="G1244" s="1">
        <v>594100</v>
      </c>
    </row>
    <row r="1245" spans="1:7" x14ac:dyDescent="0.25">
      <c r="A1245" s="1" t="s">
        <v>1460</v>
      </c>
      <c r="B1245" s="2" t="str">
        <f>HYPERLINK("https://www.elsevier.com/locate/issn/2666-5018", "Heart Rhythm O2")</f>
        <v>Heart Rhythm O2</v>
      </c>
      <c r="C1245" s="1" t="s">
        <v>23</v>
      </c>
      <c r="D1245" s="1">
        <v>2150</v>
      </c>
      <c r="E1245" s="1">
        <v>2010</v>
      </c>
      <c r="F1245" s="1">
        <v>1720</v>
      </c>
      <c r="G1245" s="1">
        <v>266660</v>
      </c>
    </row>
    <row r="1246" spans="1:7" x14ac:dyDescent="0.25">
      <c r="A1246" s="1" t="s">
        <v>1461</v>
      </c>
      <c r="B1246" s="2" t="str">
        <f>HYPERLINK("https://www.elsevier.com/locate/issn/2214-0271", "HeartRhythm Case Reports")</f>
        <v>HeartRhythm Case Reports</v>
      </c>
      <c r="C1246" s="1" t="s">
        <v>23</v>
      </c>
      <c r="D1246" s="1">
        <v>1100</v>
      </c>
      <c r="E1246" s="1">
        <v>1030</v>
      </c>
      <c r="F1246" s="1">
        <v>880</v>
      </c>
      <c r="G1246" s="1">
        <v>136430</v>
      </c>
    </row>
    <row r="1247" spans="1:7" x14ac:dyDescent="0.25">
      <c r="A1247" s="1" t="s">
        <v>1462</v>
      </c>
      <c r="B1247" s="2" t="str">
        <f>HYPERLINK("https://www.elsevier.com/locate/issn/2405-8440", "Heliyon")</f>
        <v>Heliyon</v>
      </c>
      <c r="C1247" s="1" t="s">
        <v>23</v>
      </c>
      <c r="D1247" s="1">
        <v>2270</v>
      </c>
      <c r="E1247" s="1">
        <v>2100</v>
      </c>
      <c r="F1247" s="1">
        <v>1820</v>
      </c>
      <c r="G1247" s="1">
        <v>281550</v>
      </c>
    </row>
    <row r="1248" spans="1:7" x14ac:dyDescent="0.25">
      <c r="A1248" s="1" t="s">
        <v>1463</v>
      </c>
      <c r="B1248" s="2" t="str">
        <f>HYPERLINK("https://www.elsevier.com/locate/issn/1109-9666", "Hellenic Journal of Cardiology")</f>
        <v>Hellenic Journal of Cardiology</v>
      </c>
      <c r="C1248" s="1" t="s">
        <v>34</v>
      </c>
      <c r="D1248" s="1" t="s">
        <v>324</v>
      </c>
      <c r="E1248" s="1" t="s">
        <v>324</v>
      </c>
      <c r="F1248" s="1" t="s">
        <v>324</v>
      </c>
      <c r="G1248" s="1" t="s">
        <v>324</v>
      </c>
    </row>
    <row r="1249" spans="1:7" x14ac:dyDescent="0.25">
      <c r="A1249" s="1" t="s">
        <v>1464</v>
      </c>
      <c r="B1249" s="2" t="str">
        <f>HYPERLINK("https://www.elsevier.com/locate/issn/1574-1818", "High Energy Density Physics")</f>
        <v>High Energy Density Physics</v>
      </c>
      <c r="C1249" s="1" t="s">
        <v>10</v>
      </c>
      <c r="D1249" s="1">
        <v>2870</v>
      </c>
      <c r="E1249" s="1">
        <v>2680</v>
      </c>
      <c r="F1249" s="1">
        <v>2300</v>
      </c>
      <c r="G1249" s="1">
        <v>355970</v>
      </c>
    </row>
    <row r="1250" spans="1:7" x14ac:dyDescent="0.25">
      <c r="A1250" s="1" t="s">
        <v>1465</v>
      </c>
      <c r="B1250" s="2" t="str">
        <f>HYPERLINK("https://www.elsevier.com/locate/issn/2667-2952", "High-Confidence Computing")</f>
        <v>High-Confidence Computing</v>
      </c>
      <c r="C1250" s="1" t="s">
        <v>23</v>
      </c>
      <c r="D1250" s="1">
        <v>1500</v>
      </c>
      <c r="E1250" s="1">
        <v>1400</v>
      </c>
      <c r="F1250" s="1">
        <v>1200</v>
      </c>
      <c r="G1250" s="1">
        <v>186050</v>
      </c>
    </row>
    <row r="1251" spans="1:7" x14ac:dyDescent="0.25">
      <c r="A1251" s="1" t="s">
        <v>1466</v>
      </c>
      <c r="B1251" s="2" t="str">
        <f>HYPERLINK("https://www.elsevier.com/locate/issn/2949-8678", "High-speed Railway")</f>
        <v>High-speed Railway</v>
      </c>
      <c r="C1251" s="1" t="s">
        <v>34</v>
      </c>
      <c r="D1251" s="1" t="s">
        <v>324</v>
      </c>
      <c r="E1251" s="1" t="s">
        <v>324</v>
      </c>
      <c r="F1251" s="1" t="s">
        <v>324</v>
      </c>
      <c r="G1251" s="1" t="s">
        <v>324</v>
      </c>
    </row>
    <row r="1252" spans="1:7" x14ac:dyDescent="0.25">
      <c r="A1252" s="1" t="s">
        <v>1467</v>
      </c>
      <c r="B1252" s="2" t="str">
        <f>HYPERLINK("https://www.elsevier.com/locate/issn/1889-1837", "Hipertensión y Riesgo Vascular")</f>
        <v>Hipertensión y Riesgo Vascular</v>
      </c>
      <c r="C1252" s="1" t="s">
        <v>10</v>
      </c>
      <c r="D1252" s="1">
        <v>1800</v>
      </c>
      <c r="E1252" s="1">
        <v>1680</v>
      </c>
      <c r="F1252" s="1">
        <v>1440</v>
      </c>
      <c r="G1252" s="1">
        <v>223250</v>
      </c>
    </row>
    <row r="1253" spans="1:7" x14ac:dyDescent="0.25">
      <c r="A1253" s="1" t="s">
        <v>1468</v>
      </c>
      <c r="B1253" s="2" t="str">
        <f>HYPERLINK("https://www.elsevier.com/locate/issn/0315-0860", "Historia Mathematica")</f>
        <v>Historia Mathematica</v>
      </c>
      <c r="C1253" s="1" t="s">
        <v>10</v>
      </c>
      <c r="D1253" s="1">
        <v>2810</v>
      </c>
      <c r="E1253" s="1">
        <v>2630</v>
      </c>
      <c r="F1253" s="1">
        <v>2250</v>
      </c>
      <c r="G1253" s="1">
        <v>348520</v>
      </c>
    </row>
    <row r="1254" spans="1:7" x14ac:dyDescent="0.25">
      <c r="A1254" s="1" t="s">
        <v>1469</v>
      </c>
      <c r="B1254" s="2" t="str">
        <f>HYPERLINK("https://www.elsevier.com/locate/issn/2949-9283", "hLife")</f>
        <v>hLife</v>
      </c>
      <c r="C1254" s="1" t="s">
        <v>23</v>
      </c>
      <c r="D1254" s="1">
        <v>2300</v>
      </c>
      <c r="E1254" s="1">
        <v>2150</v>
      </c>
      <c r="F1254" s="1">
        <v>1840</v>
      </c>
      <c r="G1254" s="1">
        <v>285270</v>
      </c>
    </row>
    <row r="1255" spans="1:7" x14ac:dyDescent="0.25">
      <c r="A1255" s="1" t="s">
        <v>1470</v>
      </c>
      <c r="B1255" s="2" t="str">
        <f>HYPERLINK("https://www.elsevier.com/locate/issn/0018-506X", "Hormones and Behavior")</f>
        <v>Hormones and Behavior</v>
      </c>
      <c r="C1255" s="1" t="s">
        <v>10</v>
      </c>
      <c r="D1255" s="1">
        <v>3640</v>
      </c>
      <c r="E1255" s="1">
        <v>3410</v>
      </c>
      <c r="F1255" s="1">
        <v>2910</v>
      </c>
      <c r="G1255" s="1">
        <v>451470</v>
      </c>
    </row>
    <row r="1256" spans="1:7" x14ac:dyDescent="0.25">
      <c r="A1256" s="1" t="s">
        <v>1471</v>
      </c>
      <c r="B1256" s="2" t="str">
        <f>HYPERLINK("https://www.elsevier.com/locate/issn/2468-0141", "Horticultural Plant Journal")</f>
        <v>Horticultural Plant Journal</v>
      </c>
      <c r="C1256" s="1" t="s">
        <v>34</v>
      </c>
      <c r="D1256" s="1" t="s">
        <v>324</v>
      </c>
      <c r="E1256" s="1" t="s">
        <v>324</v>
      </c>
      <c r="F1256" s="1" t="s">
        <v>324</v>
      </c>
      <c r="G1256" s="1" t="s">
        <v>324</v>
      </c>
    </row>
    <row r="1257" spans="1:7" x14ac:dyDescent="0.25">
      <c r="A1257" s="1" t="s">
        <v>1472</v>
      </c>
      <c r="B1257" s="2" t="str">
        <f>HYPERLINK("https://www.elsevier.com/locate/issn/1365-182X", "HPB")</f>
        <v>HPB</v>
      </c>
      <c r="C1257" s="1" t="s">
        <v>10</v>
      </c>
      <c r="D1257" s="1">
        <v>4100</v>
      </c>
      <c r="E1257" s="1">
        <v>3840</v>
      </c>
      <c r="F1257" s="1">
        <v>3280</v>
      </c>
      <c r="G1257" s="1">
        <v>508520</v>
      </c>
    </row>
    <row r="1258" spans="1:7" x14ac:dyDescent="0.25">
      <c r="A1258" s="1" t="s">
        <v>1473</v>
      </c>
      <c r="B1258" s="2" t="str">
        <f>HYPERLINK("https://www.elsevier.com/locate/issn/2772-5014", "Human Factors in Healthcare")</f>
        <v>Human Factors in Healthcare</v>
      </c>
      <c r="C1258" s="1" t="s">
        <v>23</v>
      </c>
      <c r="D1258" s="1">
        <v>1750</v>
      </c>
      <c r="E1258" s="1">
        <v>1640</v>
      </c>
      <c r="F1258" s="1">
        <v>1400</v>
      </c>
      <c r="G1258" s="1">
        <v>217050</v>
      </c>
    </row>
    <row r="1259" spans="1:7" x14ac:dyDescent="0.25">
      <c r="A1259" s="1" t="s">
        <v>1474</v>
      </c>
      <c r="B1259" s="2" t="str">
        <f>HYPERLINK("https://www.elsevier.com/locate/issn/2773-0441", "Human Gene")</f>
        <v>Human Gene</v>
      </c>
      <c r="C1259" s="1" t="s">
        <v>10</v>
      </c>
      <c r="D1259" s="1">
        <v>3090</v>
      </c>
      <c r="E1259" s="1">
        <v>2890</v>
      </c>
      <c r="F1259" s="1">
        <v>2470</v>
      </c>
      <c r="G1259" s="1">
        <v>383250</v>
      </c>
    </row>
    <row r="1260" spans="1:7" x14ac:dyDescent="0.25">
      <c r="A1260" s="1" t="s">
        <v>1475</v>
      </c>
      <c r="B1260" s="2" t="str">
        <f>HYPERLINK("https://www.elsevier.com/locate/issn/2666-2477", "Human Genetics and Genomics Advances")</f>
        <v>Human Genetics and Genomics Advances</v>
      </c>
      <c r="C1260" s="1" t="s">
        <v>23</v>
      </c>
      <c r="D1260" s="1">
        <v>3300</v>
      </c>
      <c r="E1260" s="1">
        <v>3060</v>
      </c>
      <c r="F1260" s="1">
        <v>2640</v>
      </c>
      <c r="G1260" s="1">
        <v>409300</v>
      </c>
    </row>
    <row r="1261" spans="1:7" x14ac:dyDescent="0.25">
      <c r="A1261" s="1" t="s">
        <v>1476</v>
      </c>
      <c r="B1261" s="2" t="str">
        <f>HYPERLINK("https://www.elsevier.com/locate/issn/0198-8859", "Human Immunology")</f>
        <v>Human Immunology</v>
      </c>
      <c r="C1261" s="1" t="s">
        <v>10</v>
      </c>
      <c r="D1261" s="1">
        <v>3600</v>
      </c>
      <c r="E1261" s="1">
        <v>3370</v>
      </c>
      <c r="F1261" s="1">
        <v>2880</v>
      </c>
      <c r="G1261" s="1">
        <v>446510</v>
      </c>
    </row>
    <row r="1262" spans="1:7" x14ac:dyDescent="0.25">
      <c r="A1262" s="1" t="s">
        <v>1477</v>
      </c>
      <c r="B1262" s="2" t="str">
        <f>HYPERLINK("https://www.elsevier.com/locate/issn/0167-9457", "Human Movement Science")</f>
        <v>Human Movement Science</v>
      </c>
      <c r="C1262" s="1" t="s">
        <v>10</v>
      </c>
      <c r="D1262" s="1">
        <v>3620</v>
      </c>
      <c r="E1262" s="1">
        <v>3390</v>
      </c>
      <c r="F1262" s="1">
        <v>2900</v>
      </c>
      <c r="G1262" s="1">
        <v>448990</v>
      </c>
    </row>
    <row r="1263" spans="1:7" x14ac:dyDescent="0.25">
      <c r="A1263" s="1" t="s">
        <v>1478</v>
      </c>
      <c r="B1263" s="2" t="str">
        <f>HYPERLINK("https://www.elsevier.com/locate/issn/2666-1497", "Human Nutrition &amp; Metabolism")</f>
        <v>Human Nutrition &amp; Metabolism</v>
      </c>
      <c r="C1263" s="1" t="s">
        <v>23</v>
      </c>
      <c r="D1263" s="1">
        <v>2400</v>
      </c>
      <c r="E1263" s="1">
        <v>2250</v>
      </c>
      <c r="F1263" s="1">
        <v>1920</v>
      </c>
      <c r="G1263" s="1">
        <v>297670</v>
      </c>
    </row>
    <row r="1264" spans="1:7" x14ac:dyDescent="0.25">
      <c r="A1264" s="1" t="s">
        <v>1479</v>
      </c>
      <c r="B1264" s="2" t="str">
        <f>HYPERLINK("https://www.elsevier.com/locate/issn/0046-8177", "Human Pathology")</f>
        <v>Human Pathology</v>
      </c>
      <c r="C1264" s="1" t="s">
        <v>10</v>
      </c>
      <c r="D1264" s="1">
        <v>3550</v>
      </c>
      <c r="E1264" s="1">
        <v>3320</v>
      </c>
      <c r="F1264" s="1">
        <v>2840</v>
      </c>
      <c r="G1264" s="1">
        <v>440310</v>
      </c>
    </row>
    <row r="1265" spans="1:7" x14ac:dyDescent="0.25">
      <c r="A1265" s="1" t="s">
        <v>1480</v>
      </c>
      <c r="B1265" s="2" t="str">
        <f>HYPERLINK("https://www.elsevier.com/locate/issn/2772-736X", "Human Pathology Reports")</f>
        <v>Human Pathology Reports</v>
      </c>
      <c r="C1265" s="1" t="s">
        <v>23</v>
      </c>
      <c r="D1265" s="1">
        <v>1160</v>
      </c>
      <c r="E1265" s="1">
        <v>1090</v>
      </c>
      <c r="F1265" s="1">
        <v>930</v>
      </c>
      <c r="G1265" s="1">
        <v>143870</v>
      </c>
    </row>
    <row r="1266" spans="1:7" x14ac:dyDescent="0.25">
      <c r="A1266" s="1" t="s">
        <v>1481</v>
      </c>
      <c r="B1266" s="2" t="str">
        <f>HYPERLINK("https://www.elsevier.com/locate/issn/1053-4822", "Human Resource Management Review")</f>
        <v>Human Resource Management Review</v>
      </c>
      <c r="C1266" s="1" t="s">
        <v>10</v>
      </c>
      <c r="D1266" s="1">
        <v>5170</v>
      </c>
      <c r="E1266" s="1">
        <v>4840</v>
      </c>
      <c r="F1266" s="1">
        <v>4140</v>
      </c>
      <c r="G1266" s="1">
        <v>641240</v>
      </c>
    </row>
    <row r="1267" spans="1:7" x14ac:dyDescent="0.25">
      <c r="A1267" s="1" t="s">
        <v>1482</v>
      </c>
      <c r="B1267" s="2" t="str">
        <f>HYPERLINK("https://www.elsevier.com/locate/issn/3050-6077", "Human Settlements and Sustainability")</f>
        <v>Human Settlements and Sustainability</v>
      </c>
      <c r="C1267" s="1" t="s">
        <v>34</v>
      </c>
      <c r="D1267" s="1" t="s">
        <v>324</v>
      </c>
      <c r="E1267" s="1" t="s">
        <v>324</v>
      </c>
      <c r="F1267" s="1" t="s">
        <v>324</v>
      </c>
      <c r="G1267" s="1" t="s">
        <v>324</v>
      </c>
    </row>
    <row r="1268" spans="1:7" x14ac:dyDescent="0.25">
      <c r="A1268" s="1" t="s">
        <v>1483</v>
      </c>
      <c r="B1268" s="2" t="str">
        <f>HYPERLINK("https://www.elsevier.com/locate/issn/2773-207X", "Hybrid Advances")</f>
        <v>Hybrid Advances</v>
      </c>
      <c r="C1268" s="1" t="s">
        <v>23</v>
      </c>
      <c r="D1268" s="1">
        <v>1540</v>
      </c>
      <c r="E1268" s="1">
        <v>1440</v>
      </c>
      <c r="F1268" s="1">
        <v>1230</v>
      </c>
      <c r="G1268" s="1">
        <v>191010</v>
      </c>
    </row>
    <row r="1269" spans="1:7" x14ac:dyDescent="0.25">
      <c r="A1269" s="1" t="s">
        <v>1484</v>
      </c>
      <c r="B1269" s="2" t="str">
        <f>HYPERLINK("https://www.elsevier.com/locate/issn/0304-386X", "Hydrometallurgy")</f>
        <v>Hydrometallurgy</v>
      </c>
      <c r="C1269" s="1" t="s">
        <v>10</v>
      </c>
      <c r="D1269" s="1">
        <v>4350</v>
      </c>
      <c r="E1269" s="1">
        <v>4070</v>
      </c>
      <c r="F1269" s="1">
        <v>3480</v>
      </c>
      <c r="G1269" s="1">
        <v>539530</v>
      </c>
    </row>
    <row r="1270" spans="1:7" x14ac:dyDescent="0.25">
      <c r="A1270" s="1" t="s">
        <v>1485</v>
      </c>
      <c r="B1270" s="2" t="str">
        <f>HYPERLINK("https://www.elsevier.com/locate/issn/2589-7578", "HydroResearch")</f>
        <v>HydroResearch</v>
      </c>
      <c r="C1270" s="1" t="s">
        <v>34</v>
      </c>
      <c r="D1270" s="1">
        <v>700</v>
      </c>
      <c r="E1270" s="1">
        <v>650</v>
      </c>
      <c r="F1270" s="1">
        <v>560</v>
      </c>
      <c r="G1270" s="1">
        <v>86820</v>
      </c>
    </row>
    <row r="1271" spans="1:7" x14ac:dyDescent="0.25">
      <c r="A1271" s="1" t="s">
        <v>1486</v>
      </c>
      <c r="B1271" s="2" t="str">
        <f>HYPERLINK("https://www.elsevier.com/locate/issn/2773-0492", "Hygiene and Environmental Health Advances")</f>
        <v>Hygiene and Environmental Health Advances</v>
      </c>
      <c r="C1271" s="1" t="s">
        <v>23</v>
      </c>
      <c r="D1271" s="1">
        <v>2340</v>
      </c>
      <c r="E1271" s="1">
        <v>2190</v>
      </c>
      <c r="F1271" s="1">
        <v>1870</v>
      </c>
      <c r="G1271" s="1">
        <v>290230</v>
      </c>
    </row>
    <row r="1272" spans="1:7" x14ac:dyDescent="0.25">
      <c r="A1272" s="1" t="s">
        <v>1487</v>
      </c>
      <c r="B1272" s="2" t="str">
        <f>HYPERLINK("https://www.elsevier.com/locate/issn/0386-1112", "IATSS Research")</f>
        <v>IATSS Research</v>
      </c>
      <c r="C1272" s="1" t="s">
        <v>23</v>
      </c>
      <c r="D1272" s="1" t="s">
        <v>324</v>
      </c>
      <c r="E1272" s="1" t="s">
        <v>324</v>
      </c>
      <c r="F1272" s="1" t="s">
        <v>324</v>
      </c>
      <c r="G1272" s="1" t="s">
        <v>324</v>
      </c>
    </row>
    <row r="1273" spans="1:7" x14ac:dyDescent="0.25">
      <c r="A1273" s="1" t="s">
        <v>1488</v>
      </c>
      <c r="B1273" s="2" t="str">
        <f>HYPERLINK("https://www.elsevier.com/locate/issn/2667-2421", "IBRO Neuroscience Reports")</f>
        <v>IBRO Neuroscience Reports</v>
      </c>
      <c r="C1273" s="1" t="s">
        <v>23</v>
      </c>
      <c r="D1273" s="1">
        <v>2470</v>
      </c>
      <c r="E1273" s="1">
        <v>2310</v>
      </c>
      <c r="F1273" s="1">
        <v>1980</v>
      </c>
      <c r="G1273" s="1">
        <v>306350</v>
      </c>
    </row>
    <row r="1274" spans="1:7" x14ac:dyDescent="0.25">
      <c r="A1274" s="1" t="s">
        <v>1489</v>
      </c>
      <c r="B1274" s="2" t="str">
        <f>HYPERLINK("https://www.elsevier.com/locate/issn/0019-1035", "Icarus")</f>
        <v>Icarus</v>
      </c>
      <c r="C1274" s="1" t="s">
        <v>10</v>
      </c>
      <c r="D1274" s="1">
        <v>3810</v>
      </c>
      <c r="E1274" s="1">
        <v>3560</v>
      </c>
      <c r="F1274" s="1">
        <v>3050</v>
      </c>
      <c r="G1274" s="1">
        <v>472550</v>
      </c>
    </row>
    <row r="1275" spans="1:7" x14ac:dyDescent="0.25">
      <c r="A1275" s="1" t="s">
        <v>1490</v>
      </c>
      <c r="B1275" s="2" t="str">
        <f>HYPERLINK("https://www.elsevier.com/locate/issn/2405-9595", "ICT Express")</f>
        <v>ICT Express</v>
      </c>
      <c r="C1275" s="1" t="s">
        <v>23</v>
      </c>
      <c r="D1275" s="1">
        <v>1500</v>
      </c>
      <c r="E1275" s="1">
        <v>1400</v>
      </c>
      <c r="F1275" s="1">
        <v>1200</v>
      </c>
      <c r="G1275" s="1">
        <v>186050</v>
      </c>
    </row>
    <row r="1276" spans="1:7" x14ac:dyDescent="0.25">
      <c r="A1276" s="1" t="s">
        <v>1491</v>
      </c>
      <c r="B1276" s="2" t="str">
        <f>HYPERLINK("https://www.elsevier.com/locate/issn/2214-2509", "IDCases")</f>
        <v>IDCases</v>
      </c>
      <c r="C1276" s="1" t="s">
        <v>23</v>
      </c>
      <c r="D1276" s="1">
        <v>1370</v>
      </c>
      <c r="E1276" s="1">
        <v>1280</v>
      </c>
      <c r="F1276" s="1">
        <v>1100</v>
      </c>
      <c r="G1276" s="1">
        <v>169920</v>
      </c>
    </row>
    <row r="1277" spans="1:7" x14ac:dyDescent="0.25">
      <c r="A1277" s="1" t="s">
        <v>1492</v>
      </c>
      <c r="B1277" s="2" t="str">
        <f>HYPERLINK("https://www.elsevier.com/locate/issn/2468-6018", "IFAC Journal of Systems and Control")</f>
        <v>IFAC Journal of Systems and Control</v>
      </c>
      <c r="C1277" s="1" t="s">
        <v>10</v>
      </c>
      <c r="D1277" s="1">
        <v>2890</v>
      </c>
      <c r="E1277" s="1">
        <v>2700</v>
      </c>
      <c r="F1277" s="1">
        <v>2310</v>
      </c>
      <c r="G1277" s="1">
        <v>358450</v>
      </c>
    </row>
    <row r="1278" spans="1:7" x14ac:dyDescent="0.25">
      <c r="A1278" s="1" t="s">
        <v>1493</v>
      </c>
      <c r="B1278" s="2" t="str">
        <f>HYPERLINK("https://www.elsevier.com/locate/issn/2405-8963", "IFAC-PapersOnLine")</f>
        <v>IFAC-PapersOnLine</v>
      </c>
      <c r="C1278" s="1" t="s">
        <v>436</v>
      </c>
      <c r="D1278" s="1" t="s">
        <v>324</v>
      </c>
      <c r="E1278" s="1" t="s">
        <v>324</v>
      </c>
      <c r="F1278" s="1" t="s">
        <v>324</v>
      </c>
      <c r="G1278" s="1" t="s">
        <v>324</v>
      </c>
    </row>
    <row r="1279" spans="1:7" x14ac:dyDescent="0.25">
      <c r="A1279" s="1" t="s">
        <v>1494</v>
      </c>
      <c r="B1279" s="2" t="str">
        <f>HYPERLINK("https://www.elsevier.com/locate/issn/2949-7086", "iGIE")</f>
        <v>iGIE</v>
      </c>
      <c r="C1279" s="1" t="s">
        <v>23</v>
      </c>
      <c r="D1279" s="1">
        <v>1800</v>
      </c>
      <c r="E1279" s="1">
        <v>1680</v>
      </c>
      <c r="F1279" s="1">
        <v>1440</v>
      </c>
      <c r="G1279" s="1">
        <v>223250</v>
      </c>
    </row>
    <row r="1280" spans="1:7" x14ac:dyDescent="0.25">
      <c r="A1280" s="1" t="s">
        <v>1495</v>
      </c>
      <c r="B1280" s="2" t="str">
        <f>HYPERLINK("https://www.elsevier.com/locate/issn/2950-4678", "IHJ Cardiovascular Reports")</f>
        <v>IHJ Cardiovascular Reports</v>
      </c>
      <c r="C1280" s="1" t="s">
        <v>23</v>
      </c>
      <c r="D1280" s="1">
        <v>400</v>
      </c>
      <c r="E1280" s="1">
        <v>370</v>
      </c>
      <c r="F1280" s="1">
        <v>320</v>
      </c>
      <c r="G1280" s="1">
        <v>49610</v>
      </c>
    </row>
    <row r="1281" spans="1:7" x14ac:dyDescent="0.25">
      <c r="A1281" s="1" t="s">
        <v>1496</v>
      </c>
      <c r="B1281" s="2" t="str">
        <f>HYPERLINK("https://www.elsevier.com/locate/issn/0970-3896", "IIMB Management Review")</f>
        <v>IIMB Management Review</v>
      </c>
      <c r="C1281" s="1" t="s">
        <v>23</v>
      </c>
      <c r="D1281" s="1">
        <v>1200</v>
      </c>
      <c r="E1281" s="1">
        <v>1120</v>
      </c>
      <c r="F1281" s="1">
        <v>960</v>
      </c>
      <c r="G1281" s="1">
        <v>148840</v>
      </c>
    </row>
    <row r="1282" spans="1:7" x14ac:dyDescent="0.25">
      <c r="A1282" s="1" t="s">
        <v>1497</v>
      </c>
      <c r="B1282" s="2" t="str">
        <f>HYPERLINK("https://www.elsevier.com/locate/issn/2352-9067", "IJC Heart &amp; Vasculature")</f>
        <v>IJC Heart &amp; Vasculature</v>
      </c>
      <c r="C1282" s="1" t="s">
        <v>23</v>
      </c>
      <c r="D1282" s="1">
        <v>3330</v>
      </c>
      <c r="E1282" s="1">
        <v>3040</v>
      </c>
      <c r="F1282" s="1">
        <v>2670</v>
      </c>
      <c r="G1282" s="1">
        <v>413020</v>
      </c>
    </row>
    <row r="1283" spans="1:7" x14ac:dyDescent="0.25">
      <c r="A1283" s="1" t="s">
        <v>1498</v>
      </c>
      <c r="B1283" s="2" t="str">
        <f>HYPERLINK("https://www.elsevier.com/locate/issn/2949-9151", "IJID One Health")</f>
        <v>IJID One Health</v>
      </c>
      <c r="C1283" s="1" t="s">
        <v>23</v>
      </c>
      <c r="D1283" s="1">
        <v>1750</v>
      </c>
      <c r="E1283" s="1">
        <v>1640</v>
      </c>
      <c r="F1283" s="1">
        <v>1400</v>
      </c>
      <c r="G1283" s="1">
        <v>217050</v>
      </c>
    </row>
    <row r="1284" spans="1:7" x14ac:dyDescent="0.25">
      <c r="A1284" s="1" t="s">
        <v>1499</v>
      </c>
      <c r="B1284" s="2" t="str">
        <f>HYPERLINK("https://www.elsevier.com/locate/issn/2772-7076", "IJID Regions")</f>
        <v>IJID Regions</v>
      </c>
      <c r="C1284" s="1" t="s">
        <v>23</v>
      </c>
      <c r="D1284" s="1">
        <v>1380</v>
      </c>
      <c r="E1284" s="1">
        <v>1290</v>
      </c>
      <c r="F1284" s="1">
        <v>1100</v>
      </c>
      <c r="G1284" s="1">
        <v>171160</v>
      </c>
    </row>
    <row r="1285" spans="1:7" x14ac:dyDescent="0.25">
      <c r="A1285" s="1" t="s">
        <v>1500</v>
      </c>
      <c r="B1285" s="2" t="str">
        <f>HYPERLINK("https://www.elsevier.com/locate/issn/2772-9478", "iLiver")</f>
        <v>iLiver</v>
      </c>
      <c r="C1285" s="1" t="s">
        <v>23</v>
      </c>
      <c r="D1285" s="1">
        <v>1600</v>
      </c>
      <c r="E1285" s="1">
        <v>1500</v>
      </c>
      <c r="F1285" s="1">
        <v>1280</v>
      </c>
      <c r="G1285" s="1">
        <v>198450</v>
      </c>
    </row>
    <row r="1286" spans="1:7" x14ac:dyDescent="0.25">
      <c r="A1286" s="1" t="s">
        <v>1501</v>
      </c>
      <c r="B1286" s="2" t="str">
        <f>HYPERLINK("https://www.elsevier.com/locate/issn/0262-8856", "Image and Vision Computing")</f>
        <v>Image and Vision Computing</v>
      </c>
      <c r="C1286" s="1" t="s">
        <v>10</v>
      </c>
      <c r="D1286" s="1">
        <v>2100</v>
      </c>
      <c r="E1286" s="1">
        <v>1960</v>
      </c>
      <c r="F1286" s="1">
        <v>1680</v>
      </c>
      <c r="G1286" s="1">
        <v>260460</v>
      </c>
    </row>
    <row r="1287" spans="1:7" x14ac:dyDescent="0.25">
      <c r="A1287" s="1" t="s">
        <v>1502</v>
      </c>
      <c r="B1287" s="2" t="str">
        <f>HYPERLINK("https://www.elsevier.com/locate/issn/1776-9817", "Imagerie de la Femme")</f>
        <v>Imagerie de la Femme</v>
      </c>
      <c r="C1287" s="1" t="s">
        <v>10</v>
      </c>
      <c r="D1287" s="1">
        <v>1770</v>
      </c>
      <c r="E1287" s="1">
        <v>1610</v>
      </c>
      <c r="F1287" s="1">
        <v>1420</v>
      </c>
      <c r="G1287" s="1">
        <v>219530</v>
      </c>
    </row>
    <row r="1288" spans="1:7" x14ac:dyDescent="0.25">
      <c r="A1288" s="1" t="s">
        <v>1503</v>
      </c>
      <c r="B1288" s="2" t="str">
        <f>HYPERLINK("https://www.elsevier.com/locate/issn/1074-7613", "Immunity")</f>
        <v>Immunity</v>
      </c>
      <c r="C1288" s="1" t="s">
        <v>10</v>
      </c>
      <c r="D1288" s="1">
        <v>10400</v>
      </c>
      <c r="E1288" s="1">
        <v>9640</v>
      </c>
      <c r="F1288" s="1">
        <v>8330</v>
      </c>
      <c r="G1288" s="1">
        <v>1289910</v>
      </c>
    </row>
    <row r="1289" spans="1:7" x14ac:dyDescent="0.25">
      <c r="A1289" s="1" t="s">
        <v>1504</v>
      </c>
      <c r="B1289" s="2" t="str">
        <f>HYPERLINK("https://www.elsevier.com/locate/issn/2590-0188", "Immuno-Oncology Technology")</f>
        <v>Immuno-Oncology Technology</v>
      </c>
      <c r="C1289" s="1" t="s">
        <v>23</v>
      </c>
      <c r="D1289" s="1">
        <v>3340</v>
      </c>
      <c r="E1289" s="1">
        <v>3050</v>
      </c>
      <c r="F1289" s="1">
        <v>2670</v>
      </c>
      <c r="G1289" s="1">
        <v>414260</v>
      </c>
    </row>
    <row r="1290" spans="1:7" x14ac:dyDescent="0.25">
      <c r="A1290" s="1" t="s">
        <v>1505</v>
      </c>
      <c r="B1290" s="2" t="str">
        <f>HYPERLINK("https://www.elsevier.com/locate/issn/0171-2985", "Immunobiology")</f>
        <v>Immunobiology</v>
      </c>
      <c r="C1290" s="1" t="s">
        <v>23</v>
      </c>
      <c r="D1290" s="1">
        <v>2840</v>
      </c>
      <c r="E1290" s="1">
        <v>2660</v>
      </c>
      <c r="F1290" s="1">
        <v>2270</v>
      </c>
      <c r="G1290" s="1">
        <v>352250</v>
      </c>
    </row>
    <row r="1291" spans="1:7" x14ac:dyDescent="0.25">
      <c r="A1291" s="1" t="s">
        <v>1506</v>
      </c>
      <c r="B1291" s="2" t="str">
        <f>HYPERLINK("https://www.elsevier.com/locate/issn/2667-1190", "ImmunoInformatics")</f>
        <v>ImmunoInformatics</v>
      </c>
      <c r="C1291" s="1" t="s">
        <v>23</v>
      </c>
      <c r="D1291" s="1">
        <v>1900</v>
      </c>
      <c r="E1291" s="1">
        <v>1780</v>
      </c>
      <c r="F1291" s="1">
        <v>1520</v>
      </c>
      <c r="G1291" s="1">
        <v>235660</v>
      </c>
    </row>
    <row r="1292" spans="1:7" x14ac:dyDescent="0.25">
      <c r="A1292" s="1" t="s">
        <v>1507</v>
      </c>
      <c r="B1292" s="2" t="str">
        <f>HYPERLINK("https://www.elsevier.com/locate/issn/0165-2478", "Immunology Letters")</f>
        <v>Immunology Letters</v>
      </c>
      <c r="C1292" s="1" t="s">
        <v>10</v>
      </c>
      <c r="D1292" s="1">
        <v>3290</v>
      </c>
      <c r="E1292" s="1">
        <v>3080</v>
      </c>
      <c r="F1292" s="1">
        <v>2630</v>
      </c>
      <c r="G1292" s="1">
        <v>408060</v>
      </c>
    </row>
    <row r="1293" spans="1:7" x14ac:dyDescent="0.25">
      <c r="A1293" s="1" t="s">
        <v>1508</v>
      </c>
      <c r="B1293" s="2" t="str">
        <f>HYPERLINK("https://www.elsevier.com/locate/issn/2542-3606", "In Analysis")</f>
        <v>In Analysis</v>
      </c>
      <c r="C1293" s="1" t="s">
        <v>10</v>
      </c>
      <c r="D1293" s="1">
        <v>1640</v>
      </c>
      <c r="E1293" s="1">
        <v>1500</v>
      </c>
      <c r="F1293" s="1">
        <v>1320</v>
      </c>
      <c r="G1293" s="1">
        <v>203410</v>
      </c>
    </row>
    <row r="1294" spans="1:7" x14ac:dyDescent="0.25">
      <c r="A1294" s="1" t="s">
        <v>1509</v>
      </c>
      <c r="B1294" s="2" t="str">
        <f>HYPERLINK("https://www.elsevier.com/locate/issn/3050-7871", "In Silico Research in Biomedicine")</f>
        <v>In Silico Research in Biomedicine</v>
      </c>
      <c r="C1294" s="1" t="s">
        <v>23</v>
      </c>
      <c r="D1294" s="1">
        <v>2000</v>
      </c>
      <c r="E1294" s="1">
        <v>1870</v>
      </c>
      <c r="F1294" s="1">
        <v>1600</v>
      </c>
      <c r="G1294" s="1">
        <v>248060</v>
      </c>
    </row>
    <row r="1295" spans="1:7" x14ac:dyDescent="0.25">
      <c r="A1295" s="1" t="s">
        <v>1510</v>
      </c>
      <c r="B1295" s="2" t="str">
        <f>HYPERLINK("https://www.elsevier.com/locate/issn/0019-3577", "Indagationes Mathematicae")</f>
        <v>Indagationes Mathematicae</v>
      </c>
      <c r="C1295" s="1" t="s">
        <v>10</v>
      </c>
      <c r="D1295" s="1">
        <v>2140</v>
      </c>
      <c r="E1295" s="1">
        <v>2000</v>
      </c>
      <c r="F1295" s="1">
        <v>1710</v>
      </c>
      <c r="G1295" s="1">
        <v>265420</v>
      </c>
    </row>
    <row r="1296" spans="1:7" x14ac:dyDescent="0.25">
      <c r="A1296" s="1" t="s">
        <v>1511</v>
      </c>
      <c r="B1296" s="2" t="str">
        <f>HYPERLINK("https://www.elsevier.com/locate/issn/0019-4832", "Indian Heart Journal")</f>
        <v>Indian Heart Journal</v>
      </c>
      <c r="C1296" s="1" t="s">
        <v>23</v>
      </c>
      <c r="D1296" s="1">
        <v>360</v>
      </c>
      <c r="E1296" s="1">
        <v>340</v>
      </c>
      <c r="F1296" s="1">
        <v>290</v>
      </c>
      <c r="G1296" s="1">
        <v>44650</v>
      </c>
    </row>
    <row r="1297" spans="1:7" x14ac:dyDescent="0.25">
      <c r="A1297" s="1" t="s">
        <v>1512</v>
      </c>
      <c r="B1297" s="2" t="str">
        <f>HYPERLINK("https://www.elsevier.com/locate/issn/0255-0857", "Indian Journal of Medical Microbiology")</f>
        <v>Indian Journal of Medical Microbiology</v>
      </c>
      <c r="C1297" s="1" t="s">
        <v>10</v>
      </c>
      <c r="D1297" s="1">
        <v>2210</v>
      </c>
      <c r="E1297" s="1">
        <v>2070</v>
      </c>
      <c r="F1297" s="1">
        <v>1770</v>
      </c>
      <c r="G1297" s="1">
        <v>274110</v>
      </c>
    </row>
    <row r="1298" spans="1:7" x14ac:dyDescent="0.25">
      <c r="A1298" s="1" t="s">
        <v>1513</v>
      </c>
      <c r="B1298" s="2" t="str">
        <f>HYPERLINK("https://www.elsevier.com/locate/issn/0972-6292", "Indian Pacing and Electrophysiology Journal")</f>
        <v>Indian Pacing and Electrophysiology Journal</v>
      </c>
      <c r="C1298" s="1" t="s">
        <v>23</v>
      </c>
      <c r="D1298" s="1">
        <v>550</v>
      </c>
      <c r="E1298" s="1">
        <v>510</v>
      </c>
      <c r="F1298" s="1">
        <v>440</v>
      </c>
      <c r="G1298" s="1">
        <v>68220</v>
      </c>
    </row>
    <row r="1299" spans="1:7" x14ac:dyDescent="0.25">
      <c r="A1299" s="1" t="s">
        <v>1514</v>
      </c>
      <c r="B1299" s="2" t="str">
        <f>HYPERLINK("https://www.elsevier.com/locate/issn/2950-3620", "Indoor Environments")</f>
        <v>Indoor Environments</v>
      </c>
      <c r="C1299" s="1" t="s">
        <v>23</v>
      </c>
      <c r="D1299" s="1">
        <v>1800</v>
      </c>
      <c r="E1299" s="1">
        <v>1680</v>
      </c>
      <c r="F1299" s="1">
        <v>1440</v>
      </c>
      <c r="G1299" s="1">
        <v>223250</v>
      </c>
    </row>
    <row r="1300" spans="1:7" x14ac:dyDescent="0.25">
      <c r="A1300" s="1" t="s">
        <v>1515</v>
      </c>
      <c r="B1300" s="2" t="str">
        <f>HYPERLINK("https://www.elsevier.com/locate/issn/0926-6690", "Industrial Crops and Products")</f>
        <v>Industrial Crops and Products</v>
      </c>
      <c r="C1300" s="1" t="s">
        <v>23</v>
      </c>
      <c r="D1300" s="1">
        <v>3470</v>
      </c>
      <c r="E1300" s="1">
        <v>3250</v>
      </c>
      <c r="F1300" s="1">
        <v>2780</v>
      </c>
      <c r="G1300" s="1">
        <v>430380</v>
      </c>
    </row>
    <row r="1301" spans="1:7" x14ac:dyDescent="0.25">
      <c r="A1301" s="1" t="s">
        <v>1516</v>
      </c>
      <c r="B1301" s="2" t="str">
        <f>HYPERLINK("https://www.elsevier.com/locate/issn/0019-8501", "Industrial Marketing Management")</f>
        <v>Industrial Marketing Management</v>
      </c>
      <c r="C1301" s="1" t="s">
        <v>10</v>
      </c>
      <c r="D1301" s="1">
        <v>3990</v>
      </c>
      <c r="E1301" s="1">
        <v>3730</v>
      </c>
      <c r="F1301" s="1">
        <v>3190</v>
      </c>
      <c r="G1301" s="1">
        <v>494880</v>
      </c>
    </row>
    <row r="1302" spans="1:7" x14ac:dyDescent="0.25">
      <c r="A1302" s="1" t="s">
        <v>1517</v>
      </c>
      <c r="B1302" s="2" t="str">
        <f>HYPERLINK("https://www.elsevier.com/locate/issn/0163-6383", "Infant Behavior and Development")</f>
        <v>Infant Behavior and Development</v>
      </c>
      <c r="C1302" s="1" t="s">
        <v>10</v>
      </c>
      <c r="D1302" s="1">
        <v>3490</v>
      </c>
      <c r="E1302" s="1">
        <v>3260</v>
      </c>
      <c r="F1302" s="1">
        <v>2790</v>
      </c>
      <c r="G1302" s="1">
        <v>432860</v>
      </c>
    </row>
    <row r="1303" spans="1:7" x14ac:dyDescent="0.25">
      <c r="A1303" s="1" t="s">
        <v>1518</v>
      </c>
      <c r="B1303" s="2" t="str">
        <f>HYPERLINK("https://www.elsevier.com/locate/issn/2590-0889", "Infection Prevention in Practice")</f>
        <v>Infection Prevention in Practice</v>
      </c>
      <c r="C1303" s="1" t="s">
        <v>23</v>
      </c>
      <c r="D1303" s="1">
        <v>1500</v>
      </c>
      <c r="E1303" s="1">
        <v>1400</v>
      </c>
      <c r="F1303" s="1">
        <v>1200</v>
      </c>
      <c r="G1303" s="1">
        <v>186050</v>
      </c>
    </row>
    <row r="1304" spans="1:7" x14ac:dyDescent="0.25">
      <c r="A1304" s="1" t="s">
        <v>1519</v>
      </c>
      <c r="B1304" s="2" t="str">
        <f>HYPERLINK("https://www.elsevier.com/locate/issn/2468-0427", "Infectious Disease Modelling")</f>
        <v>Infectious Disease Modelling</v>
      </c>
      <c r="C1304" s="1" t="s">
        <v>34</v>
      </c>
      <c r="D1304" s="1">
        <v>1100</v>
      </c>
      <c r="E1304" s="1">
        <v>1030</v>
      </c>
      <c r="F1304" s="1">
        <v>880</v>
      </c>
      <c r="G1304" s="1">
        <v>136430</v>
      </c>
    </row>
    <row r="1305" spans="1:7" x14ac:dyDescent="0.25">
      <c r="A1305" s="1" t="s">
        <v>1520</v>
      </c>
      <c r="B1305" s="2" t="str">
        <f>HYPERLINK("https://www.elsevier.com/locate/issn/2666-9919", "Infectious Diseases Now")</f>
        <v>Infectious Diseases Now</v>
      </c>
      <c r="C1305" s="1" t="s">
        <v>10</v>
      </c>
      <c r="D1305" s="1">
        <v>1640</v>
      </c>
      <c r="E1305" s="1">
        <v>1500</v>
      </c>
      <c r="F1305" s="1">
        <v>1320</v>
      </c>
      <c r="G1305" s="1">
        <v>203410</v>
      </c>
    </row>
    <row r="1306" spans="1:7" x14ac:dyDescent="0.25">
      <c r="A1306" s="1" t="s">
        <v>1521</v>
      </c>
      <c r="B1306" s="2" t="str">
        <f>HYPERLINK("https://www.elsevier.com/locate/issn/2772-431X", "Infectious Medicine")</f>
        <v>Infectious Medicine</v>
      </c>
      <c r="C1306" s="1" t="s">
        <v>23</v>
      </c>
      <c r="D1306" s="1">
        <v>2500</v>
      </c>
      <c r="E1306" s="1">
        <v>2340</v>
      </c>
      <c r="F1306" s="1">
        <v>2000</v>
      </c>
      <c r="G1306" s="1">
        <v>310080</v>
      </c>
    </row>
    <row r="1307" spans="1:7" x14ac:dyDescent="0.25">
      <c r="A1307" s="1" t="s">
        <v>1522</v>
      </c>
      <c r="B1307" s="2" t="str">
        <f>HYPERLINK("https://www.elsevier.com/locate/issn/2949-9534", "Informatics and Health")</f>
        <v>Informatics and Health</v>
      </c>
      <c r="C1307" s="1" t="s">
        <v>34</v>
      </c>
      <c r="D1307" s="1" t="s">
        <v>324</v>
      </c>
      <c r="E1307" s="1" t="s">
        <v>324</v>
      </c>
      <c r="F1307" s="1" t="s">
        <v>324</v>
      </c>
      <c r="G1307" s="1" t="s">
        <v>324</v>
      </c>
    </row>
    <row r="1308" spans="1:7" x14ac:dyDescent="0.25">
      <c r="A1308" s="1" t="s">
        <v>1523</v>
      </c>
      <c r="B1308" s="2" t="str">
        <f>HYPERLINK("https://www.elsevier.com/locate/issn/2352-9148", "Informatics in Medicine Unlocked")</f>
        <v>Informatics in Medicine Unlocked</v>
      </c>
      <c r="C1308" s="1" t="s">
        <v>23</v>
      </c>
      <c r="D1308" s="1">
        <v>2470</v>
      </c>
      <c r="E1308" s="1">
        <v>2310</v>
      </c>
      <c r="F1308" s="1">
        <v>1980</v>
      </c>
      <c r="G1308" s="1">
        <v>306350</v>
      </c>
    </row>
    <row r="1309" spans="1:7" x14ac:dyDescent="0.25">
      <c r="A1309" s="1" t="s">
        <v>1524</v>
      </c>
      <c r="B1309" s="2" t="str">
        <f>HYPERLINK("https://www.elsevier.com/locate/issn/0378-7206", "Information &amp; Management")</f>
        <v>Information &amp; Management</v>
      </c>
      <c r="C1309" s="1" t="s">
        <v>10</v>
      </c>
      <c r="D1309" s="1">
        <v>4540</v>
      </c>
      <c r="E1309" s="1">
        <v>4250</v>
      </c>
      <c r="F1309" s="1">
        <v>3630</v>
      </c>
      <c r="G1309" s="1">
        <v>563100</v>
      </c>
    </row>
    <row r="1310" spans="1:7" x14ac:dyDescent="0.25">
      <c r="A1310" s="1" t="s">
        <v>1525</v>
      </c>
      <c r="B1310" s="2" t="str">
        <f>HYPERLINK("https://www.elsevier.com/locate/issn/0890-5401", "Information and Computation")</f>
        <v>Information and Computation</v>
      </c>
      <c r="C1310" s="1" t="s">
        <v>10</v>
      </c>
      <c r="D1310" s="1">
        <v>2840</v>
      </c>
      <c r="E1310" s="1">
        <v>2660</v>
      </c>
      <c r="F1310" s="1">
        <v>2270</v>
      </c>
      <c r="G1310" s="1">
        <v>352250</v>
      </c>
    </row>
    <row r="1311" spans="1:7" x14ac:dyDescent="0.25">
      <c r="A1311" s="1" t="s">
        <v>1526</v>
      </c>
      <c r="B1311" s="2" t="str">
        <f>HYPERLINK("https://www.elsevier.com/locate/issn/1471-7727", "Information and Organization")</f>
        <v>Information and Organization</v>
      </c>
      <c r="C1311" s="1" t="s">
        <v>10</v>
      </c>
      <c r="D1311" s="1">
        <v>3590</v>
      </c>
      <c r="E1311" s="1">
        <v>3360</v>
      </c>
      <c r="F1311" s="1">
        <v>2870</v>
      </c>
      <c r="G1311" s="1">
        <v>445270</v>
      </c>
    </row>
    <row r="1312" spans="1:7" x14ac:dyDescent="0.25">
      <c r="A1312" s="1" t="s">
        <v>1527</v>
      </c>
      <c r="B1312" s="2" t="str">
        <f>HYPERLINK("https://www.elsevier.com/locate/issn/0950-5849", "Information and Software Technology")</f>
        <v>Information and Software Technology</v>
      </c>
      <c r="C1312" s="1" t="s">
        <v>10</v>
      </c>
      <c r="D1312" s="1">
        <v>3830</v>
      </c>
      <c r="E1312" s="1">
        <v>3580</v>
      </c>
      <c r="F1312" s="1">
        <v>3070</v>
      </c>
      <c r="G1312" s="1">
        <v>475030</v>
      </c>
    </row>
    <row r="1313" spans="1:7" x14ac:dyDescent="0.25">
      <c r="A1313" s="1" t="s">
        <v>1528</v>
      </c>
      <c r="B1313" s="2" t="str">
        <f>HYPERLINK("https://www.elsevier.com/locate/issn/0167-6245", "Information Economics and Policy")</f>
        <v>Information Economics and Policy</v>
      </c>
      <c r="C1313" s="1" t="s">
        <v>10</v>
      </c>
      <c r="D1313" s="1">
        <v>3930</v>
      </c>
      <c r="E1313" s="1">
        <v>3680</v>
      </c>
      <c r="F1313" s="1">
        <v>3150</v>
      </c>
      <c r="G1313" s="1">
        <v>487440</v>
      </c>
    </row>
    <row r="1314" spans="1:7" x14ac:dyDescent="0.25">
      <c r="A1314" s="1" t="s">
        <v>1529</v>
      </c>
      <c r="B1314" s="2" t="str">
        <f>HYPERLINK("https://www.elsevier.com/locate/issn/1566-2535", "Information Fusion")</f>
        <v>Information Fusion</v>
      </c>
      <c r="C1314" s="1" t="s">
        <v>10</v>
      </c>
      <c r="D1314" s="1">
        <v>4740</v>
      </c>
      <c r="E1314" s="1">
        <v>4430</v>
      </c>
      <c r="F1314" s="1">
        <v>3790</v>
      </c>
      <c r="G1314" s="1">
        <v>587900</v>
      </c>
    </row>
    <row r="1315" spans="1:7" x14ac:dyDescent="0.25">
      <c r="A1315" s="1" t="s">
        <v>1530</v>
      </c>
      <c r="B1315" s="2" t="str">
        <f>HYPERLINK("https://www.elsevier.com/locate/issn/3050-5208", "Information Geography")</f>
        <v>Information Geography</v>
      </c>
      <c r="C1315" s="1" t="s">
        <v>23</v>
      </c>
      <c r="D1315" s="1">
        <v>2200</v>
      </c>
      <c r="E1315" s="1">
        <v>2060</v>
      </c>
      <c r="F1315" s="1">
        <v>1760</v>
      </c>
      <c r="G1315" s="1">
        <v>272870</v>
      </c>
    </row>
    <row r="1316" spans="1:7" x14ac:dyDescent="0.25">
      <c r="A1316" s="1" t="s">
        <v>1531</v>
      </c>
      <c r="B1316" s="2" t="str">
        <f>HYPERLINK("https://www.elsevier.com/locate/issn/0306-4573", "Information Processing &amp; Management")</f>
        <v>Information Processing &amp; Management</v>
      </c>
      <c r="C1316" s="1" t="s">
        <v>10</v>
      </c>
      <c r="D1316" s="1">
        <v>3670</v>
      </c>
      <c r="E1316" s="1">
        <v>3430</v>
      </c>
      <c r="F1316" s="1">
        <v>2940</v>
      </c>
      <c r="G1316" s="1">
        <v>455190</v>
      </c>
    </row>
    <row r="1317" spans="1:7" x14ac:dyDescent="0.25">
      <c r="A1317" s="1" t="s">
        <v>1532</v>
      </c>
      <c r="B1317" s="2" t="str">
        <f>HYPERLINK("https://www.elsevier.com/locate/issn/2214-3173", "Information Processing in Agriculture")</f>
        <v>Information Processing in Agriculture</v>
      </c>
      <c r="C1317" s="1" t="s">
        <v>23</v>
      </c>
      <c r="D1317" s="1">
        <v>2000</v>
      </c>
      <c r="E1317" s="1">
        <v>1870</v>
      </c>
      <c r="F1317" s="1">
        <v>1600</v>
      </c>
      <c r="G1317" s="1">
        <v>248060</v>
      </c>
    </row>
    <row r="1318" spans="1:7" x14ac:dyDescent="0.25">
      <c r="A1318" s="1" t="s">
        <v>1533</v>
      </c>
      <c r="B1318" s="2" t="str">
        <f>HYPERLINK("https://www.elsevier.com/locate/issn/0020-0190", "Information Processing Letters")</f>
        <v>Information Processing Letters</v>
      </c>
      <c r="C1318" s="1" t="s">
        <v>10</v>
      </c>
      <c r="D1318" s="1">
        <v>2590</v>
      </c>
      <c r="E1318" s="1">
        <v>2420</v>
      </c>
      <c r="F1318" s="1">
        <v>2070</v>
      </c>
      <c r="G1318" s="1">
        <v>321240</v>
      </c>
    </row>
    <row r="1319" spans="1:7" x14ac:dyDescent="0.25">
      <c r="A1319" s="1" t="s">
        <v>1534</v>
      </c>
      <c r="B1319" s="2" t="str">
        <f>HYPERLINK("https://www.elsevier.com/locate/issn/0020-0255", "Information Sciences")</f>
        <v>Information Sciences</v>
      </c>
      <c r="C1319" s="1" t="s">
        <v>10</v>
      </c>
      <c r="D1319" s="1">
        <v>3200</v>
      </c>
      <c r="E1319" s="1">
        <v>2990</v>
      </c>
      <c r="F1319" s="1">
        <v>2560</v>
      </c>
      <c r="G1319" s="1">
        <v>396900</v>
      </c>
    </row>
    <row r="1320" spans="1:7" x14ac:dyDescent="0.25">
      <c r="A1320" s="1" t="s">
        <v>1535</v>
      </c>
      <c r="B1320" s="2" t="str">
        <f>HYPERLINK("https://www.elsevier.com/locate/issn/0306-4379", "Information Systems")</f>
        <v>Information Systems</v>
      </c>
      <c r="C1320" s="1" t="s">
        <v>10</v>
      </c>
      <c r="D1320" s="1">
        <v>3410</v>
      </c>
      <c r="E1320" s="1">
        <v>3190</v>
      </c>
      <c r="F1320" s="1">
        <v>2730</v>
      </c>
      <c r="G1320" s="1">
        <v>422940</v>
      </c>
    </row>
    <row r="1321" spans="1:7" x14ac:dyDescent="0.25">
      <c r="A1321" s="1" t="s">
        <v>1536</v>
      </c>
      <c r="B1321" s="2" t="str">
        <f>HYPERLINK("https://www.elsevier.com/locate/issn/1350-4495", "Infrared Physics &amp; Technology")</f>
        <v>Infrared Physics &amp; Technology</v>
      </c>
      <c r="C1321" s="1" t="s">
        <v>10</v>
      </c>
      <c r="D1321" s="1">
        <v>3000</v>
      </c>
      <c r="E1321" s="1">
        <v>2810</v>
      </c>
      <c r="F1321" s="1">
        <v>2400</v>
      </c>
      <c r="G1321" s="1">
        <v>372090</v>
      </c>
    </row>
    <row r="1322" spans="1:7" x14ac:dyDescent="0.25">
      <c r="A1322" s="1" t="s">
        <v>1537</v>
      </c>
      <c r="B1322" s="2" t="str">
        <f>HYPERLINK("https://www.elsevier.com/locate/issn/0020-1383", "Injury")</f>
        <v>Injury</v>
      </c>
      <c r="C1322" s="1" t="s">
        <v>10</v>
      </c>
      <c r="D1322" s="1">
        <v>3640</v>
      </c>
      <c r="E1322" s="1">
        <v>3410</v>
      </c>
      <c r="F1322" s="1">
        <v>2910</v>
      </c>
      <c r="G1322" s="1">
        <v>451470</v>
      </c>
    </row>
    <row r="1323" spans="1:7" x14ac:dyDescent="0.25">
      <c r="A1323" s="1" t="s">
        <v>1538</v>
      </c>
      <c r="B1323" s="2" t="str">
        <f>HYPERLINK("https://www.elsevier.com/locate/issn/2949-7531", "Innovation and Green Development")</f>
        <v>Innovation and Green Development</v>
      </c>
      <c r="C1323" s="1" t="s">
        <v>23</v>
      </c>
      <c r="D1323" s="1">
        <v>1900</v>
      </c>
      <c r="E1323" s="1">
        <v>1780</v>
      </c>
      <c r="F1323" s="1">
        <v>1520</v>
      </c>
      <c r="G1323" s="1">
        <v>235660</v>
      </c>
    </row>
    <row r="1324" spans="1:7" x14ac:dyDescent="0.25">
      <c r="A1324" s="1" t="s">
        <v>1539</v>
      </c>
      <c r="B1324" s="2" t="str">
        <f>HYPERLINK("https://www.elsevier.com/locate/issn/1466-8564", "Innovative Food Science &amp; Emerging Technologies")</f>
        <v>Innovative Food Science &amp; Emerging Technologies</v>
      </c>
      <c r="C1324" s="1" t="s">
        <v>10</v>
      </c>
      <c r="D1324" s="1">
        <v>4470</v>
      </c>
      <c r="E1324" s="1">
        <v>4180</v>
      </c>
      <c r="F1324" s="1">
        <v>3580</v>
      </c>
      <c r="G1324" s="1">
        <v>554410</v>
      </c>
    </row>
    <row r="1325" spans="1:7" x14ac:dyDescent="0.25">
      <c r="A1325" s="1" t="s">
        <v>1540</v>
      </c>
      <c r="B1325" s="2" t="str">
        <f>HYPERLINK("https://www.elsevier.com/locate/issn/2950-2128", "Innovative Practice in Breast Health")</f>
        <v>Innovative Practice in Breast Health</v>
      </c>
      <c r="C1325" s="1" t="s">
        <v>23</v>
      </c>
      <c r="D1325" s="1">
        <v>2810</v>
      </c>
      <c r="E1325" s="1">
        <v>2630</v>
      </c>
      <c r="F1325" s="1">
        <v>2250</v>
      </c>
      <c r="G1325" s="1">
        <v>348520</v>
      </c>
    </row>
    <row r="1326" spans="1:7" x14ac:dyDescent="0.25">
      <c r="A1326" s="1" t="s">
        <v>1541</v>
      </c>
      <c r="B1326" s="2" t="str">
        <f>HYPERLINK("https://www.elsevier.com/locate/issn/1387-7003", "Inorganic Chemistry Communications")</f>
        <v>Inorganic Chemistry Communications</v>
      </c>
      <c r="C1326" s="1" t="s">
        <v>10</v>
      </c>
      <c r="D1326" s="1">
        <v>3550</v>
      </c>
      <c r="E1326" s="1">
        <v>3320</v>
      </c>
      <c r="F1326" s="1">
        <v>2840</v>
      </c>
      <c r="G1326" s="1">
        <v>440310</v>
      </c>
    </row>
    <row r="1327" spans="1:7" x14ac:dyDescent="0.25">
      <c r="A1327" s="1" t="s">
        <v>1542</v>
      </c>
      <c r="B1327" s="2" t="str">
        <f>HYPERLINK("https://www.elsevier.com/locate/issn/0020-1693", "Inorganica Chimica Acta")</f>
        <v>Inorganica Chimica Acta</v>
      </c>
      <c r="C1327" s="1" t="s">
        <v>10</v>
      </c>
      <c r="D1327" s="1">
        <v>3830</v>
      </c>
      <c r="E1327" s="1">
        <v>3580</v>
      </c>
      <c r="F1327" s="1">
        <v>3070</v>
      </c>
      <c r="G1327" s="1">
        <v>475030</v>
      </c>
    </row>
    <row r="1328" spans="1:7" x14ac:dyDescent="0.25">
      <c r="A1328" s="1" t="s">
        <v>1543</v>
      </c>
      <c r="B1328" s="2" t="str">
        <f>HYPERLINK("https://www.elsevier.com/locate/issn/0965-1748", "Insect Biochemistry and Molecular Biology")</f>
        <v>Insect Biochemistry and Molecular Biology</v>
      </c>
      <c r="C1328" s="1" t="s">
        <v>10</v>
      </c>
      <c r="D1328" s="1">
        <v>4210</v>
      </c>
      <c r="E1328" s="1">
        <v>3940</v>
      </c>
      <c r="F1328" s="1">
        <v>3370</v>
      </c>
      <c r="G1328" s="1">
        <v>522170</v>
      </c>
    </row>
    <row r="1329" spans="1:7" x14ac:dyDescent="0.25">
      <c r="A1329" s="1" t="s">
        <v>1544</v>
      </c>
      <c r="B1329" s="2" t="str">
        <f>HYPERLINK("https://www.elsevier.com/locate/issn/0167-6687", "Insurance: Mathematics and Economics")</f>
        <v>Insurance: Mathematics and Economics</v>
      </c>
      <c r="C1329" s="1" t="s">
        <v>10</v>
      </c>
      <c r="D1329" s="1">
        <v>3270</v>
      </c>
      <c r="E1329" s="1">
        <v>3060</v>
      </c>
      <c r="F1329" s="1">
        <v>2620</v>
      </c>
      <c r="G1329" s="1">
        <v>405580</v>
      </c>
    </row>
    <row r="1330" spans="1:7" x14ac:dyDescent="0.25">
      <c r="A1330" s="1" t="s">
        <v>1545</v>
      </c>
      <c r="B1330" s="2" t="str">
        <f>HYPERLINK("https://www.elsevier.com/locate/issn/0167-9260", "Integration")</f>
        <v>Integration</v>
      </c>
      <c r="C1330" s="1" t="s">
        <v>10</v>
      </c>
      <c r="D1330" s="1">
        <v>2410</v>
      </c>
      <c r="E1330" s="1">
        <v>2250</v>
      </c>
      <c r="F1330" s="1">
        <v>1930</v>
      </c>
      <c r="G1330" s="1">
        <v>298910</v>
      </c>
    </row>
    <row r="1331" spans="1:7" x14ac:dyDescent="0.25">
      <c r="A1331" s="1" t="s">
        <v>1546</v>
      </c>
      <c r="B1331" s="2" t="str">
        <f>HYPERLINK("https://www.elsevier.com/locate/issn/2213-4220", "Integrative Medicine Research")</f>
        <v>Integrative Medicine Research</v>
      </c>
      <c r="C1331" s="1" t="s">
        <v>23</v>
      </c>
      <c r="D1331" s="1">
        <v>1700</v>
      </c>
      <c r="E1331" s="1">
        <v>1590</v>
      </c>
      <c r="F1331" s="1">
        <v>1360</v>
      </c>
      <c r="G1331" s="1">
        <v>210850</v>
      </c>
    </row>
    <row r="1332" spans="1:7" x14ac:dyDescent="0.25">
      <c r="A1332" s="1" t="s">
        <v>1547</v>
      </c>
      <c r="B1332" s="2" t="str">
        <f>HYPERLINK("https://www.elsevier.com/locate/issn/0160-2896", "Intelligence")</f>
        <v>Intelligence</v>
      </c>
      <c r="C1332" s="1" t="s">
        <v>10</v>
      </c>
      <c r="D1332" s="1">
        <v>3530</v>
      </c>
      <c r="E1332" s="1">
        <v>3300</v>
      </c>
      <c r="F1332" s="1">
        <v>2830</v>
      </c>
      <c r="G1332" s="1">
        <v>437830</v>
      </c>
    </row>
    <row r="1333" spans="1:7" x14ac:dyDescent="0.25">
      <c r="A1333" s="1" t="s">
        <v>1548</v>
      </c>
      <c r="B1333" s="2" t="str">
        <f>HYPERLINK("https://www.elsevier.com/locate/issn/2666-5212", "Intelligence-Based Medicine")</f>
        <v>Intelligence-Based Medicine</v>
      </c>
      <c r="C1333" s="1" t="s">
        <v>23</v>
      </c>
      <c r="D1333" s="1">
        <v>2420</v>
      </c>
      <c r="E1333" s="1">
        <v>2260</v>
      </c>
      <c r="F1333" s="1">
        <v>1940</v>
      </c>
      <c r="G1333" s="1">
        <v>300150</v>
      </c>
    </row>
    <row r="1334" spans="1:7" x14ac:dyDescent="0.25">
      <c r="A1334" s="1" t="s">
        <v>1549</v>
      </c>
      <c r="B1334" s="2" t="str">
        <f>HYPERLINK("https://www.elsevier.com/locate/issn/3051-2530", "Intelligent Climate and Eco-Environment")</f>
        <v>Intelligent Climate and Eco-Environment</v>
      </c>
      <c r="C1334" s="1" t="s">
        <v>34</v>
      </c>
      <c r="D1334" s="1" t="s">
        <v>324</v>
      </c>
      <c r="E1334" s="1" t="s">
        <v>324</v>
      </c>
      <c r="F1334" s="1" t="s">
        <v>324</v>
      </c>
      <c r="G1334" s="1" t="s">
        <v>324</v>
      </c>
    </row>
    <row r="1335" spans="1:7" x14ac:dyDescent="0.25">
      <c r="A1335" s="1" t="s">
        <v>1550</v>
      </c>
      <c r="B1335" s="2" t="str">
        <f>HYPERLINK("https://www.elsevier.com/locate/issn/3050-6190", "Intelligent Geoengineering")</f>
        <v>Intelligent Geoengineering</v>
      </c>
      <c r="C1335" s="1" t="s">
        <v>34</v>
      </c>
      <c r="D1335" s="1" t="s">
        <v>324</v>
      </c>
      <c r="E1335" s="1" t="s">
        <v>324</v>
      </c>
      <c r="F1335" s="1" t="s">
        <v>324</v>
      </c>
      <c r="G1335" s="1" t="s">
        <v>324</v>
      </c>
    </row>
    <row r="1336" spans="1:7" x14ac:dyDescent="0.25">
      <c r="A1336" s="1" t="s">
        <v>1551</v>
      </c>
      <c r="B1336" s="2" t="str">
        <f>HYPERLINK("https://www.elsevier.com/locate/issn/3050-8371", "Intelligent Hospital")</f>
        <v>Intelligent Hospital</v>
      </c>
      <c r="C1336" s="1" t="s">
        <v>34</v>
      </c>
      <c r="D1336" s="1" t="s">
        <v>324</v>
      </c>
      <c r="E1336" s="1" t="s">
        <v>324</v>
      </c>
      <c r="F1336" s="1" t="s">
        <v>324</v>
      </c>
      <c r="G1336" s="1" t="s">
        <v>324</v>
      </c>
    </row>
    <row r="1337" spans="1:7" x14ac:dyDescent="0.25">
      <c r="A1337" s="1" t="s">
        <v>1552</v>
      </c>
      <c r="B1337" s="2" t="str">
        <f>HYPERLINK("https://www.elsevier.com/locate/issn/2667-1026", "Intelligent Medicine")</f>
        <v>Intelligent Medicine</v>
      </c>
      <c r="C1337" s="1" t="s">
        <v>23</v>
      </c>
      <c r="D1337" s="1">
        <v>1100</v>
      </c>
      <c r="E1337" s="1">
        <v>1030</v>
      </c>
      <c r="F1337" s="1">
        <v>880</v>
      </c>
      <c r="G1337" s="1">
        <v>136430</v>
      </c>
    </row>
    <row r="1338" spans="1:7" x14ac:dyDescent="0.25">
      <c r="A1338" s="1" t="s">
        <v>1553</v>
      </c>
      <c r="B1338" s="2" t="str">
        <f>HYPERLINK("https://www.elsevier.com/locate/issn/2950-2616", "Intelligent Oncology")</f>
        <v>Intelligent Oncology</v>
      </c>
      <c r="C1338" s="1" t="s">
        <v>34</v>
      </c>
      <c r="D1338" s="1" t="s">
        <v>324</v>
      </c>
      <c r="E1338" s="1" t="s">
        <v>324</v>
      </c>
      <c r="F1338" s="1" t="s">
        <v>324</v>
      </c>
      <c r="G1338" s="1" t="s">
        <v>324</v>
      </c>
    </row>
    <row r="1339" spans="1:7" x14ac:dyDescent="0.25">
      <c r="A1339" s="1" t="s">
        <v>1554</v>
      </c>
      <c r="B1339" s="2" t="str">
        <f>HYPERLINK("https://www.elsevier.com/locate/issn/2949-866X", "Intelligent Pharmacy")</f>
        <v>Intelligent Pharmacy</v>
      </c>
      <c r="C1339" s="1" t="s">
        <v>34</v>
      </c>
      <c r="D1339" s="1">
        <v>1200</v>
      </c>
      <c r="E1339" s="1">
        <v>1120</v>
      </c>
      <c r="F1339" s="1">
        <v>960</v>
      </c>
      <c r="G1339" s="1">
        <v>148840</v>
      </c>
    </row>
    <row r="1340" spans="1:7" x14ac:dyDescent="0.25">
      <c r="A1340" s="1" t="s">
        <v>1555</v>
      </c>
      <c r="B1340" s="2" t="str">
        <f>HYPERLINK("https://www.elsevier.com/locate/issn/3050-5445", "Intelligent Sports and Health")</f>
        <v>Intelligent Sports and Health</v>
      </c>
      <c r="C1340" s="1" t="s">
        <v>34</v>
      </c>
      <c r="D1340" s="1" t="s">
        <v>324</v>
      </c>
      <c r="E1340" s="1" t="s">
        <v>324</v>
      </c>
      <c r="F1340" s="1" t="s">
        <v>324</v>
      </c>
      <c r="G1340" s="1" t="s">
        <v>324</v>
      </c>
    </row>
    <row r="1341" spans="1:7" x14ac:dyDescent="0.25">
      <c r="A1341" s="1" t="s">
        <v>1556</v>
      </c>
      <c r="B1341" s="2" t="str">
        <f>HYPERLINK("https://www.elsevier.com/locate/issn/2666-6766", "Intelligent Surgery")</f>
        <v>Intelligent Surgery</v>
      </c>
      <c r="C1341" s="1" t="s">
        <v>34</v>
      </c>
      <c r="D1341" s="1" t="s">
        <v>324</v>
      </c>
      <c r="E1341" s="1" t="s">
        <v>324</v>
      </c>
      <c r="F1341" s="1" t="s">
        <v>324</v>
      </c>
      <c r="G1341" s="1" t="s">
        <v>324</v>
      </c>
    </row>
    <row r="1342" spans="1:7" x14ac:dyDescent="0.25">
      <c r="A1342" s="1" t="s">
        <v>1557</v>
      </c>
      <c r="B1342" s="2" t="str">
        <f>HYPERLINK("https://www.elsevier.com/locate/issn/2667-3053", "Intelligent Systems with Applications")</f>
        <v>Intelligent Systems with Applications</v>
      </c>
      <c r="C1342" s="1" t="s">
        <v>23</v>
      </c>
      <c r="D1342" s="1">
        <v>1790</v>
      </c>
      <c r="E1342" s="1">
        <v>1670</v>
      </c>
      <c r="F1342" s="1">
        <v>1430</v>
      </c>
      <c r="G1342" s="1">
        <v>222010</v>
      </c>
    </row>
    <row r="1343" spans="1:7" x14ac:dyDescent="0.25">
      <c r="A1343" s="1" t="s">
        <v>1558</v>
      </c>
      <c r="B1343" s="2" t="str">
        <f>HYPERLINK("https://www.elsevier.com/locate/issn/0964-3397", "Intensive and Critical Care Nursing")</f>
        <v>Intensive and Critical Care Nursing</v>
      </c>
      <c r="C1343" s="1" t="s">
        <v>10</v>
      </c>
      <c r="D1343" s="1">
        <v>4140</v>
      </c>
      <c r="E1343" s="1">
        <v>3870</v>
      </c>
      <c r="F1343" s="1">
        <v>3310</v>
      </c>
      <c r="G1343" s="1">
        <v>513480</v>
      </c>
    </row>
    <row r="1344" spans="1:7" x14ac:dyDescent="0.25">
      <c r="A1344" s="1" t="s">
        <v>1559</v>
      </c>
      <c r="B1344" s="2" t="str">
        <f>HYPERLINK("https://www.elsevier.com/locate/issn/2214-7519", "Interdisciplinary Neurosurgery")</f>
        <v>Interdisciplinary Neurosurgery</v>
      </c>
      <c r="C1344" s="1" t="s">
        <v>23</v>
      </c>
      <c r="D1344" s="1">
        <v>1910</v>
      </c>
      <c r="E1344" s="1">
        <v>1790</v>
      </c>
      <c r="F1344" s="1">
        <v>1530</v>
      </c>
      <c r="G1344" s="1">
        <v>236900</v>
      </c>
    </row>
    <row r="1345" spans="1:7" x14ac:dyDescent="0.25">
      <c r="A1345" s="1" t="s">
        <v>1560</v>
      </c>
      <c r="B1345" s="2" t="str">
        <f>HYPERLINK("https://www.elsevier.com/locate/issn/0966-9795", "Intermetallics")</f>
        <v>Intermetallics</v>
      </c>
      <c r="C1345" s="1" t="s">
        <v>10</v>
      </c>
      <c r="D1345" s="1">
        <v>2730</v>
      </c>
      <c r="E1345" s="1">
        <v>2550</v>
      </c>
      <c r="F1345" s="1">
        <v>2190</v>
      </c>
      <c r="G1345" s="1">
        <v>338600</v>
      </c>
    </row>
    <row r="1346" spans="1:7" x14ac:dyDescent="0.25">
      <c r="A1346" s="1" t="s">
        <v>1561</v>
      </c>
      <c r="B1346" s="2" t="str">
        <f>HYPERLINK("https://www.elsevier.com/locate/issn/0964-8305", "International Biodeterioration &amp; Biodegradation")</f>
        <v>International Biodeterioration &amp; Biodegradation</v>
      </c>
      <c r="C1346" s="1" t="s">
        <v>10</v>
      </c>
      <c r="D1346" s="1">
        <v>3870</v>
      </c>
      <c r="E1346" s="1">
        <v>3620</v>
      </c>
      <c r="F1346" s="1">
        <v>3100</v>
      </c>
      <c r="G1346" s="1">
        <v>480000</v>
      </c>
    </row>
    <row r="1347" spans="1:7" x14ac:dyDescent="0.25">
      <c r="A1347" s="1" t="s">
        <v>1562</v>
      </c>
      <c r="B1347" s="2" t="str">
        <f>HYPERLINK("https://www.elsevier.com/locate/issn/0969-5931", "International Business Review")</f>
        <v>International Business Review</v>
      </c>
      <c r="C1347" s="1" t="s">
        <v>10</v>
      </c>
      <c r="D1347" s="1">
        <v>4550</v>
      </c>
      <c r="E1347" s="1">
        <v>4260</v>
      </c>
      <c r="F1347" s="1">
        <v>3640</v>
      </c>
      <c r="G1347" s="1">
        <v>564340</v>
      </c>
    </row>
    <row r="1348" spans="1:7" x14ac:dyDescent="0.25">
      <c r="A1348" s="1" t="s">
        <v>1563</v>
      </c>
      <c r="B1348" s="2" t="str">
        <f>HYPERLINK("https://www.elsevier.com/locate/issn/0735-1933", "International Communications in Heat and Mass Transfer")</f>
        <v>International Communications in Heat and Mass Transfer</v>
      </c>
      <c r="C1348" s="1" t="s">
        <v>10</v>
      </c>
      <c r="D1348" s="1">
        <v>3560</v>
      </c>
      <c r="E1348" s="1">
        <v>3330</v>
      </c>
      <c r="F1348" s="1">
        <v>2850</v>
      </c>
      <c r="G1348" s="1">
        <v>441550</v>
      </c>
    </row>
    <row r="1349" spans="1:7" x14ac:dyDescent="0.25">
      <c r="A1349" s="1" t="s">
        <v>1564</v>
      </c>
      <c r="B1349" s="2" t="str">
        <f>HYPERLINK("https://www.elsevier.com/locate/issn/0958-6946", "International Dairy Journal")</f>
        <v>International Dairy Journal</v>
      </c>
      <c r="C1349" s="1" t="s">
        <v>10</v>
      </c>
      <c r="D1349" s="1">
        <v>3290</v>
      </c>
      <c r="E1349" s="1">
        <v>3080</v>
      </c>
      <c r="F1349" s="1">
        <v>2630</v>
      </c>
      <c r="G1349" s="1">
        <v>408060</v>
      </c>
    </row>
    <row r="1350" spans="1:7" x14ac:dyDescent="0.25">
      <c r="A1350" s="1" t="s">
        <v>1565</v>
      </c>
      <c r="B1350" s="2" t="str">
        <f>HYPERLINK("https://www.elsevier.com/locate/issn/0020-6539", "International Dental Journal")</f>
        <v>International Dental Journal</v>
      </c>
      <c r="C1350" s="1" t="s">
        <v>23</v>
      </c>
      <c r="D1350" s="1">
        <v>2550</v>
      </c>
      <c r="E1350" s="1">
        <v>2390</v>
      </c>
      <c r="F1350" s="1">
        <v>2040</v>
      </c>
      <c r="G1350" s="1">
        <v>316280</v>
      </c>
    </row>
    <row r="1351" spans="1:7" x14ac:dyDescent="0.25">
      <c r="A1351" s="1" t="s">
        <v>1566</v>
      </c>
      <c r="B1351" s="2" t="str">
        <f>HYPERLINK("https://www.elsevier.com/locate/issn/2110-7017", "International Economics")</f>
        <v>International Economics</v>
      </c>
      <c r="C1351" s="1" t="s">
        <v>10</v>
      </c>
      <c r="D1351" s="1">
        <v>3660</v>
      </c>
      <c r="E1351" s="1">
        <v>3420</v>
      </c>
      <c r="F1351" s="1">
        <v>2930</v>
      </c>
      <c r="G1351" s="1">
        <v>453950</v>
      </c>
    </row>
    <row r="1352" spans="1:7" x14ac:dyDescent="0.25">
      <c r="A1352" s="1" t="s">
        <v>1567</v>
      </c>
      <c r="B1352" s="2" t="str">
        <f>HYPERLINK("https://www.elsevier.com/locate/issn/1755-599X", "International Emergency Nursing")</f>
        <v>International Emergency Nursing</v>
      </c>
      <c r="C1352" s="1" t="s">
        <v>10</v>
      </c>
      <c r="D1352" s="1">
        <v>2900</v>
      </c>
      <c r="E1352" s="1">
        <v>2710</v>
      </c>
      <c r="F1352" s="1">
        <v>2320</v>
      </c>
      <c r="G1352" s="1">
        <v>359690</v>
      </c>
    </row>
    <row r="1353" spans="1:7" x14ac:dyDescent="0.25">
      <c r="A1353" s="1" t="s">
        <v>1568</v>
      </c>
      <c r="B1353" s="2" t="str">
        <f>HYPERLINK("https://www.elsevier.com/locate/issn/1567-5769", "International Immunopharmacology")</f>
        <v>International Immunopharmacology</v>
      </c>
      <c r="C1353" s="1" t="s">
        <v>10</v>
      </c>
      <c r="D1353" s="1">
        <v>3220</v>
      </c>
      <c r="E1353" s="1">
        <v>3010</v>
      </c>
      <c r="F1353" s="1">
        <v>2580</v>
      </c>
      <c r="G1353" s="1">
        <v>399380</v>
      </c>
    </row>
    <row r="1354" spans="1:7" x14ac:dyDescent="0.25">
      <c r="A1354" s="1" t="s">
        <v>1569</v>
      </c>
      <c r="B1354" s="2" t="str">
        <f>HYPERLINK("https://www.elsevier.com/locate/issn/0020-7519", "International Journal for Parasitology")</f>
        <v>International Journal for Parasitology</v>
      </c>
      <c r="C1354" s="1" t="s">
        <v>10</v>
      </c>
      <c r="D1354" s="1">
        <v>3250</v>
      </c>
      <c r="E1354" s="1">
        <v>3040</v>
      </c>
      <c r="F1354" s="1">
        <v>2600</v>
      </c>
      <c r="G1354" s="1">
        <v>403100</v>
      </c>
    </row>
    <row r="1355" spans="1:7" x14ac:dyDescent="0.25">
      <c r="A1355" s="1" t="s">
        <v>1570</v>
      </c>
      <c r="B1355" s="2" t="str">
        <f>HYPERLINK("https://www.elsevier.com/locate/issn/2211-3207", "International Journal for Parasitology: Drugs and Drug Resistance")</f>
        <v>International Journal for Parasitology: Drugs and Drug Resistance</v>
      </c>
      <c r="C1355" s="1" t="s">
        <v>23</v>
      </c>
      <c r="D1355" s="1">
        <v>3100</v>
      </c>
      <c r="E1355" s="1">
        <v>2900</v>
      </c>
      <c r="F1355" s="1">
        <v>2480</v>
      </c>
      <c r="G1355" s="1">
        <v>384490</v>
      </c>
    </row>
    <row r="1356" spans="1:7" x14ac:dyDescent="0.25">
      <c r="A1356" s="1" t="s">
        <v>1571</v>
      </c>
      <c r="B1356" s="2" t="str">
        <f>HYPERLINK("https://www.elsevier.com/locate/issn/2213-2244", "International Journal for Parasitology: Parasites and Wildlife")</f>
        <v>International Journal for Parasitology: Parasites and Wildlife</v>
      </c>
      <c r="C1356" s="1" t="s">
        <v>23</v>
      </c>
      <c r="D1356" s="1">
        <v>2530</v>
      </c>
      <c r="E1356" s="1">
        <v>2370</v>
      </c>
      <c r="F1356" s="1">
        <v>2030</v>
      </c>
      <c r="G1356" s="1">
        <v>313800</v>
      </c>
    </row>
    <row r="1357" spans="1:7" x14ac:dyDescent="0.25">
      <c r="A1357" s="1" t="s">
        <v>1572</v>
      </c>
      <c r="B1357" s="2" t="str">
        <f>HYPERLINK("https://www.elsevier.com/locate/issn/1467-0895", "International Journal of Accounting Information Systems")</f>
        <v>International Journal of Accounting Information Systems</v>
      </c>
      <c r="C1357" s="1" t="s">
        <v>10</v>
      </c>
      <c r="D1357" s="1">
        <v>4130</v>
      </c>
      <c r="E1357" s="1">
        <v>3860</v>
      </c>
      <c r="F1357" s="1">
        <v>3310</v>
      </c>
      <c r="G1357" s="1">
        <v>512240</v>
      </c>
    </row>
    <row r="1358" spans="1:7" x14ac:dyDescent="0.25">
      <c r="A1358" s="1" t="s">
        <v>1573</v>
      </c>
      <c r="B1358" s="2" t="str">
        <f>HYPERLINK("https://www.elsevier.com/locate/issn/0143-7496", "International Journal of Adhesion and Adhesives")</f>
        <v>International Journal of Adhesion and Adhesives</v>
      </c>
      <c r="C1358" s="1" t="s">
        <v>10</v>
      </c>
      <c r="D1358" s="1">
        <v>3760</v>
      </c>
      <c r="E1358" s="1">
        <v>3520</v>
      </c>
      <c r="F1358" s="1">
        <v>3010</v>
      </c>
      <c r="G1358" s="1">
        <v>466350</v>
      </c>
    </row>
    <row r="1359" spans="1:7" x14ac:dyDescent="0.25">
      <c r="A1359" s="1" t="s">
        <v>1574</v>
      </c>
      <c r="B1359" s="2" t="str">
        <f>HYPERLINK("https://www.elsevier.com/locate/issn/2468-6050", "International Journal of Advanced Nuclear Reactor Design and Technology")</f>
        <v>International Journal of Advanced Nuclear Reactor Design and Technology</v>
      </c>
      <c r="C1359" s="1" t="s">
        <v>34</v>
      </c>
      <c r="D1359" s="1" t="s">
        <v>324</v>
      </c>
      <c r="E1359" s="1" t="s">
        <v>324</v>
      </c>
      <c r="F1359" s="1" t="s">
        <v>324</v>
      </c>
      <c r="G1359" s="1" t="s">
        <v>324</v>
      </c>
    </row>
    <row r="1360" spans="1:7" x14ac:dyDescent="0.25">
      <c r="A1360" s="1" t="s">
        <v>1575</v>
      </c>
      <c r="B1360" s="2" t="str">
        <f>HYPERLINK("https://www.elsevier.com/locate/issn/2214-1391", "International Journal of Africa Nursing Sciences")</f>
        <v>International Journal of Africa Nursing Sciences</v>
      </c>
      <c r="C1360" s="1" t="s">
        <v>23</v>
      </c>
      <c r="D1360" s="1">
        <v>2130</v>
      </c>
      <c r="E1360" s="1">
        <v>1990</v>
      </c>
      <c r="F1360" s="1">
        <v>1710</v>
      </c>
      <c r="G1360" s="1">
        <v>264180</v>
      </c>
    </row>
    <row r="1361" spans="1:7" x14ac:dyDescent="0.25">
      <c r="A1361" s="1" t="s">
        <v>1576</v>
      </c>
      <c r="B1361" s="2" t="str">
        <f>HYPERLINK("https://www.elsevier.com/locate/issn/0924-8579", "International Journal of Antimicrobial Agents")</f>
        <v>International Journal of Antimicrobial Agents</v>
      </c>
      <c r="C1361" s="1" t="s">
        <v>10</v>
      </c>
      <c r="D1361" s="1">
        <v>3280</v>
      </c>
      <c r="E1361" s="1">
        <v>3070</v>
      </c>
      <c r="F1361" s="1">
        <v>2630</v>
      </c>
      <c r="G1361" s="1">
        <v>406820</v>
      </c>
    </row>
    <row r="1362" spans="1:7" x14ac:dyDescent="0.25">
      <c r="A1362" s="1" t="s">
        <v>1577</v>
      </c>
      <c r="B1362" s="2" t="str">
        <f>HYPERLINK("https://www.elsevier.com/locate/issn/1569-8432", "International Journal of Applied Earth Observation and Geoinformation")</f>
        <v>International Journal of Applied Earth Observation and Geoinformation</v>
      </c>
      <c r="C1362" s="1" t="s">
        <v>23</v>
      </c>
      <c r="D1362" s="1">
        <v>3310</v>
      </c>
      <c r="E1362" s="1">
        <v>3100</v>
      </c>
      <c r="F1362" s="1">
        <v>2650</v>
      </c>
      <c r="G1362" s="1">
        <v>410540</v>
      </c>
    </row>
    <row r="1363" spans="1:7" x14ac:dyDescent="0.25">
      <c r="A1363" s="1" t="s">
        <v>1578</v>
      </c>
      <c r="B1363" s="2" t="str">
        <f>HYPERLINK("https://www.elsevier.com/locate/issn/0888-613X", "International Journal of Approximate Reasoning")</f>
        <v>International Journal of Approximate Reasoning</v>
      </c>
      <c r="C1363" s="1" t="s">
        <v>10</v>
      </c>
      <c r="D1363" s="1">
        <v>3050</v>
      </c>
      <c r="E1363" s="1">
        <v>2850</v>
      </c>
      <c r="F1363" s="1">
        <v>2440</v>
      </c>
      <c r="G1363" s="1">
        <v>378290</v>
      </c>
    </row>
    <row r="1364" spans="1:7" x14ac:dyDescent="0.25">
      <c r="A1364" s="1" t="s">
        <v>1579</v>
      </c>
      <c r="B1364" s="2" t="str">
        <f>HYPERLINK("https://www.elsevier.com/locate/issn/0141-8130", "International Journal of Biological Macromolecules")</f>
        <v>International Journal of Biological Macromolecules</v>
      </c>
      <c r="C1364" s="1" t="s">
        <v>10</v>
      </c>
      <c r="D1364" s="1">
        <v>4390</v>
      </c>
      <c r="E1364" s="1">
        <v>4110</v>
      </c>
      <c r="F1364" s="1">
        <v>3510</v>
      </c>
      <c r="G1364" s="1">
        <v>544490</v>
      </c>
    </row>
    <row r="1365" spans="1:7" x14ac:dyDescent="0.25">
      <c r="A1365" s="1" t="s">
        <v>1580</v>
      </c>
      <c r="B1365" s="2" t="str">
        <f>HYPERLINK("https://www.elsevier.com/locate/issn/0167-5273", "International Journal of Cardiology")</f>
        <v>International Journal of Cardiology</v>
      </c>
      <c r="C1365" s="1" t="s">
        <v>10</v>
      </c>
      <c r="D1365" s="1">
        <v>3970</v>
      </c>
      <c r="E1365" s="1">
        <v>3710</v>
      </c>
      <c r="F1365" s="1">
        <v>3180</v>
      </c>
      <c r="G1365" s="1">
        <v>492400</v>
      </c>
    </row>
    <row r="1366" spans="1:7" x14ac:dyDescent="0.25">
      <c r="A1366" s="1" t="s">
        <v>1581</v>
      </c>
      <c r="B1366" s="2" t="str">
        <f>HYPERLINK("https://www.elsevier.com/locate/issn/2772-4875", "International Journal of Cardiology Cardiovascular Risk and Prevention")</f>
        <v>International Journal of Cardiology Cardiovascular Risk and Prevention</v>
      </c>
      <c r="C1366" s="1" t="s">
        <v>23</v>
      </c>
      <c r="D1366" s="1">
        <v>2710</v>
      </c>
      <c r="E1366" s="1">
        <v>2540</v>
      </c>
      <c r="F1366" s="1">
        <v>2170</v>
      </c>
      <c r="G1366" s="1">
        <v>336120</v>
      </c>
    </row>
    <row r="1367" spans="1:7" x14ac:dyDescent="0.25">
      <c r="A1367" s="1" t="s">
        <v>1582</v>
      </c>
      <c r="B1367" s="2" t="str">
        <f>HYPERLINK("https://www.elsevier.com/locate/issn/2666-6685", "International Journal of Cardiology Congenital Heart Disease")</f>
        <v>International Journal of Cardiology Congenital Heart Disease</v>
      </c>
      <c r="C1367" s="1" t="s">
        <v>23</v>
      </c>
      <c r="D1367" s="1">
        <v>2120</v>
      </c>
      <c r="E1367" s="1">
        <v>1980</v>
      </c>
      <c r="F1367" s="1">
        <v>1700</v>
      </c>
      <c r="G1367" s="1">
        <v>262940</v>
      </c>
    </row>
    <row r="1368" spans="1:7" x14ac:dyDescent="0.25">
      <c r="A1368" s="1" t="s">
        <v>1583</v>
      </c>
      <c r="B1368" s="2" t="str">
        <f>HYPERLINK("https://www.elsevier.com/locate/issn/2212-8689", "International Journal of Child-Computer Interaction")</f>
        <v>International Journal of Child-Computer Interaction</v>
      </c>
      <c r="C1368" s="1" t="s">
        <v>10</v>
      </c>
      <c r="D1368" s="1">
        <v>3020</v>
      </c>
      <c r="E1368" s="1">
        <v>2830</v>
      </c>
      <c r="F1368" s="1">
        <v>2420</v>
      </c>
      <c r="G1368" s="1">
        <v>374570</v>
      </c>
    </row>
    <row r="1369" spans="1:7" x14ac:dyDescent="0.25">
      <c r="A1369" s="1" t="s">
        <v>1584</v>
      </c>
      <c r="B1369" s="2" t="str">
        <f>HYPERLINK("https://www.elsevier.com/locate/issn/1697-2600", "International Journal of Clinical and Health Psychology")</f>
        <v>International Journal of Clinical and Health Psychology</v>
      </c>
      <c r="C1369" s="1" t="s">
        <v>23</v>
      </c>
      <c r="D1369" s="1">
        <v>2970</v>
      </c>
      <c r="E1369" s="1">
        <v>2780</v>
      </c>
      <c r="F1369" s="1">
        <v>2380</v>
      </c>
      <c r="G1369" s="1">
        <v>368370</v>
      </c>
    </row>
    <row r="1370" spans="1:7" x14ac:dyDescent="0.25">
      <c r="A1370" s="1" t="s">
        <v>1585</v>
      </c>
      <c r="B1370" s="2" t="str">
        <f>HYPERLINK("https://www.elsevier.com/locate/issn/0166-5162", "International Journal of Coal Geology")</f>
        <v>International Journal of Coal Geology</v>
      </c>
      <c r="C1370" s="1" t="s">
        <v>10</v>
      </c>
      <c r="D1370" s="1">
        <v>4090</v>
      </c>
      <c r="E1370" s="1">
        <v>3830</v>
      </c>
      <c r="F1370" s="1">
        <v>3270</v>
      </c>
      <c r="G1370" s="1">
        <v>507280</v>
      </c>
    </row>
    <row r="1371" spans="1:7" x14ac:dyDescent="0.25">
      <c r="A1371" s="1" t="s">
        <v>1586</v>
      </c>
      <c r="B1371" s="2" t="str">
        <f>HYPERLINK("https://www.elsevier.com/locate/issn/2666-3074", "International Journal of Cognitive Computing in Engineering")</f>
        <v>International Journal of Cognitive Computing in Engineering</v>
      </c>
      <c r="C1371" s="1" t="s">
        <v>34</v>
      </c>
      <c r="D1371" s="1">
        <v>700</v>
      </c>
      <c r="E1371" s="1">
        <v>650</v>
      </c>
      <c r="F1371" s="1">
        <v>560</v>
      </c>
      <c r="G1371" s="1">
        <v>86820</v>
      </c>
    </row>
    <row r="1372" spans="1:7" x14ac:dyDescent="0.25">
      <c r="A1372" s="1" t="s">
        <v>1587</v>
      </c>
      <c r="B1372" s="2" t="str">
        <f>HYPERLINK("https://www.elsevier.com/locate/issn/1874-5482", "International Journal of Critical Infrastructure Protection")</f>
        <v>International Journal of Critical Infrastructure Protection</v>
      </c>
      <c r="C1372" s="1" t="s">
        <v>10</v>
      </c>
      <c r="D1372" s="1">
        <v>2490</v>
      </c>
      <c r="E1372" s="1">
        <v>2330</v>
      </c>
      <c r="F1372" s="1">
        <v>1990</v>
      </c>
      <c r="G1372" s="1">
        <v>308830</v>
      </c>
    </row>
    <row r="1373" spans="1:7" x14ac:dyDescent="0.25">
      <c r="A1373" s="1" t="s">
        <v>1588</v>
      </c>
      <c r="B1373" s="2" t="str">
        <f>HYPERLINK("https://www.elsevier.com/locate/issn/2212-4209", "International Journal of Disaster Risk Reduction")</f>
        <v>International Journal of Disaster Risk Reduction</v>
      </c>
      <c r="C1373" s="1" t="s">
        <v>10</v>
      </c>
      <c r="D1373" s="1">
        <v>3200</v>
      </c>
      <c r="E1373" s="1">
        <v>2990</v>
      </c>
      <c r="F1373" s="1">
        <v>2560</v>
      </c>
      <c r="G1373" s="1">
        <v>396900</v>
      </c>
    </row>
    <row r="1374" spans="1:7" x14ac:dyDescent="0.25">
      <c r="A1374" s="1" t="s">
        <v>1589</v>
      </c>
      <c r="B1374" s="2" t="str">
        <f>HYPERLINK("https://www.elsevier.com/locate/issn/0955-3959", "International Journal of Drug Policy")</f>
        <v>International Journal of Drug Policy</v>
      </c>
      <c r="C1374" s="1" t="s">
        <v>10</v>
      </c>
      <c r="D1374" s="1">
        <v>4350</v>
      </c>
      <c r="E1374" s="1">
        <v>4070</v>
      </c>
      <c r="F1374" s="1">
        <v>3480</v>
      </c>
      <c r="G1374" s="1">
        <v>539530</v>
      </c>
    </row>
    <row r="1375" spans="1:7" x14ac:dyDescent="0.25">
      <c r="A1375" s="1" t="s">
        <v>1590</v>
      </c>
      <c r="B1375" s="2" t="str">
        <f>HYPERLINK("https://www.elsevier.com/locate/issn/0738-0593", "International Journal of Educational Development")</f>
        <v>International Journal of Educational Development</v>
      </c>
      <c r="C1375" s="1" t="s">
        <v>10</v>
      </c>
      <c r="D1375" s="1">
        <v>3490</v>
      </c>
      <c r="E1375" s="1">
        <v>3260</v>
      </c>
      <c r="F1375" s="1">
        <v>2790</v>
      </c>
      <c r="G1375" s="1">
        <v>432860</v>
      </c>
    </row>
    <row r="1376" spans="1:7" x14ac:dyDescent="0.25">
      <c r="A1376" s="1" t="s">
        <v>1591</v>
      </c>
      <c r="B1376" s="2" t="str">
        <f>HYPERLINK("https://www.elsevier.com/locate/issn/0883-0355", "International Journal of Educational Research")</f>
        <v>International Journal of Educational Research</v>
      </c>
      <c r="C1376" s="1" t="s">
        <v>10</v>
      </c>
      <c r="D1376" s="1">
        <v>3470</v>
      </c>
      <c r="E1376" s="1">
        <v>3250</v>
      </c>
      <c r="F1376" s="1">
        <v>2780</v>
      </c>
      <c r="G1376" s="1">
        <v>430380</v>
      </c>
    </row>
    <row r="1377" spans="1:7" x14ac:dyDescent="0.25">
      <c r="A1377" s="1" t="s">
        <v>1592</v>
      </c>
      <c r="B1377" s="2" t="str">
        <f>HYPERLINK("https://www.elsevier.com/locate/issn/2666-3740", "International Journal of Educational Research Open")</f>
        <v>International Journal of Educational Research Open</v>
      </c>
      <c r="C1377" s="1" t="s">
        <v>23</v>
      </c>
      <c r="D1377" s="1">
        <v>1890</v>
      </c>
      <c r="E1377" s="1">
        <v>1770</v>
      </c>
      <c r="F1377" s="1">
        <v>1510</v>
      </c>
      <c r="G1377" s="1">
        <v>234420</v>
      </c>
    </row>
    <row r="1378" spans="1:7" x14ac:dyDescent="0.25">
      <c r="A1378" s="1" t="s">
        <v>1593</v>
      </c>
      <c r="B1378" s="2" t="str">
        <f>HYPERLINK("https://www.elsevier.com/locate/issn/0142-0615", "International Journal of Electrical Power &amp; Energy Systems")</f>
        <v>International Journal of Electrical Power &amp; Energy Systems</v>
      </c>
      <c r="C1378" s="1" t="s">
        <v>23</v>
      </c>
      <c r="D1378" s="1">
        <v>3660</v>
      </c>
      <c r="E1378" s="1">
        <v>3420</v>
      </c>
      <c r="F1378" s="1">
        <v>2930</v>
      </c>
      <c r="G1378" s="1">
        <v>453950</v>
      </c>
    </row>
    <row r="1379" spans="1:7" x14ac:dyDescent="0.25">
      <c r="A1379" s="1" t="s">
        <v>1594</v>
      </c>
      <c r="B1379" s="2" t="str">
        <f>HYPERLINK("https://www.elsevier.com/locate/issn/1452-3981", "International Journal of Electrochemical Science")</f>
        <v>International Journal of Electrochemical Science</v>
      </c>
      <c r="C1379" s="1" t="s">
        <v>23</v>
      </c>
      <c r="D1379" s="1">
        <v>1670</v>
      </c>
      <c r="E1379" s="1">
        <v>1560</v>
      </c>
      <c r="F1379" s="1">
        <v>1340</v>
      </c>
      <c r="G1379" s="1">
        <v>207130</v>
      </c>
    </row>
    <row r="1380" spans="1:7" x14ac:dyDescent="0.25">
      <c r="A1380" s="1" t="s">
        <v>1595</v>
      </c>
      <c r="B1380" s="2" t="str">
        <f>HYPERLINK("https://www.elsevier.com/locate/issn/0020-7225", "International Journal of Engineering Science")</f>
        <v>International Journal of Engineering Science</v>
      </c>
      <c r="C1380" s="1" t="s">
        <v>10</v>
      </c>
      <c r="D1380" s="1">
        <v>4980</v>
      </c>
      <c r="E1380" s="1">
        <v>4660</v>
      </c>
      <c r="F1380" s="1">
        <v>3990</v>
      </c>
      <c r="G1380" s="1">
        <v>617670</v>
      </c>
    </row>
    <row r="1381" spans="1:7" x14ac:dyDescent="0.25">
      <c r="A1381" s="1" t="s">
        <v>1596</v>
      </c>
      <c r="B1381" s="2" t="str">
        <f>HYPERLINK("https://www.elsevier.com/locate/issn/0142-1123", "International Journal of Fatigue")</f>
        <v>International Journal of Fatigue</v>
      </c>
      <c r="C1381" s="1" t="s">
        <v>10</v>
      </c>
      <c r="D1381" s="1">
        <v>3940</v>
      </c>
      <c r="E1381" s="1">
        <v>3690</v>
      </c>
      <c r="F1381" s="1">
        <v>3150</v>
      </c>
      <c r="G1381" s="1">
        <v>488680</v>
      </c>
    </row>
    <row r="1382" spans="1:7" x14ac:dyDescent="0.25">
      <c r="A1382" s="1" t="s">
        <v>1597</v>
      </c>
      <c r="B1382" s="2" t="str">
        <f>HYPERLINK("https://www.elsevier.com/locate/issn/0168-1605", "International Journal of Food Microbiology")</f>
        <v>International Journal of Food Microbiology</v>
      </c>
      <c r="C1382" s="1" t="s">
        <v>10</v>
      </c>
      <c r="D1382" s="1">
        <v>4090</v>
      </c>
      <c r="E1382" s="1">
        <v>3830</v>
      </c>
      <c r="F1382" s="1">
        <v>3270</v>
      </c>
      <c r="G1382" s="1">
        <v>507280</v>
      </c>
    </row>
    <row r="1383" spans="1:7" x14ac:dyDescent="0.25">
      <c r="A1383" s="1" t="s">
        <v>1598</v>
      </c>
      <c r="B1383" s="2" t="str">
        <f>HYPERLINK("https://www.elsevier.com/locate/issn/0169-2070", "International Journal of Forecasting")</f>
        <v>International Journal of Forecasting</v>
      </c>
      <c r="C1383" s="1" t="s">
        <v>10</v>
      </c>
      <c r="D1383" s="1">
        <v>2800</v>
      </c>
      <c r="E1383" s="1">
        <v>2620</v>
      </c>
      <c r="F1383" s="1">
        <v>2240</v>
      </c>
      <c r="G1383" s="1">
        <v>347280</v>
      </c>
    </row>
    <row r="1384" spans="1:7" x14ac:dyDescent="0.25">
      <c r="A1384" s="1" t="s">
        <v>1599</v>
      </c>
      <c r="B1384" s="2" t="str">
        <f>HYPERLINK("https://www.elsevier.com/locate/issn/1878-450X", "International Journal of Gastronomy and Food Science")</f>
        <v>International Journal of Gastronomy and Food Science</v>
      </c>
      <c r="C1384" s="1" t="s">
        <v>10</v>
      </c>
      <c r="D1384" s="1">
        <v>3580</v>
      </c>
      <c r="E1384" s="1">
        <v>3350</v>
      </c>
      <c r="F1384" s="1">
        <v>2870</v>
      </c>
      <c r="G1384" s="1">
        <v>444030</v>
      </c>
    </row>
    <row r="1385" spans="1:7" x14ac:dyDescent="0.25">
      <c r="A1385" s="1" t="s">
        <v>1600</v>
      </c>
      <c r="B1385" s="2" t="str">
        <f>HYPERLINK("https://www.elsevier.com/locate/issn/2577-4441", "International Journal of Geoheritage and Parks")</f>
        <v>International Journal of Geoheritage and Parks</v>
      </c>
      <c r="C1385" s="1" t="s">
        <v>34</v>
      </c>
      <c r="D1385" s="1" t="s">
        <v>324</v>
      </c>
      <c r="E1385" s="1" t="s">
        <v>324</v>
      </c>
      <c r="F1385" s="1" t="s">
        <v>324</v>
      </c>
      <c r="G1385" s="1" t="s">
        <v>324</v>
      </c>
    </row>
    <row r="1386" spans="1:7" x14ac:dyDescent="0.25">
      <c r="A1386" s="1" t="s">
        <v>1601</v>
      </c>
      <c r="B1386" s="2" t="str">
        <f>HYPERLINK("https://www.elsevier.com/locate/issn/1750-5836", "International Journal of Greenhouse Gas Control")</f>
        <v>International Journal of Greenhouse Gas Control</v>
      </c>
      <c r="C1386" s="1" t="s">
        <v>10</v>
      </c>
      <c r="D1386" s="1">
        <v>4100</v>
      </c>
      <c r="E1386" s="1">
        <v>3840</v>
      </c>
      <c r="F1386" s="1">
        <v>3280</v>
      </c>
      <c r="G1386" s="1">
        <v>508520</v>
      </c>
    </row>
    <row r="1387" spans="1:7" x14ac:dyDescent="0.25">
      <c r="A1387" s="1" t="s">
        <v>1602</v>
      </c>
      <c r="B1387" s="2" t="str">
        <f>HYPERLINK("https://www.elsevier.com/locate/issn/1048-891X", "International Journal of Gynecological Cancer")</f>
        <v>International Journal of Gynecological Cancer</v>
      </c>
      <c r="C1387" s="1" t="s">
        <v>10</v>
      </c>
      <c r="D1387" s="1">
        <v>3800</v>
      </c>
      <c r="E1387" s="1">
        <v>3550</v>
      </c>
      <c r="F1387" s="1">
        <v>3040</v>
      </c>
      <c r="G1387" s="1">
        <v>471310</v>
      </c>
    </row>
    <row r="1388" spans="1:7" x14ac:dyDescent="0.25">
      <c r="A1388" s="1" t="s">
        <v>1603</v>
      </c>
      <c r="B1388" s="2" t="str">
        <f>HYPERLINK("https://www.elsevier.com/locate/issn/0142-727X", "International Journal of Heat and Fluid Flow")</f>
        <v>International Journal of Heat and Fluid Flow</v>
      </c>
      <c r="C1388" s="1" t="s">
        <v>10</v>
      </c>
      <c r="D1388" s="1">
        <v>3420</v>
      </c>
      <c r="E1388" s="1">
        <v>3200</v>
      </c>
      <c r="F1388" s="1">
        <v>2740</v>
      </c>
      <c r="G1388" s="1">
        <v>424180</v>
      </c>
    </row>
    <row r="1389" spans="1:7" x14ac:dyDescent="0.25">
      <c r="A1389" s="1" t="s">
        <v>1604</v>
      </c>
      <c r="B1389" s="2" t="str">
        <f>HYPERLINK("https://www.elsevier.com/locate/issn/0017-9310", "International Journal of Heat and Mass Transfer")</f>
        <v>International Journal of Heat and Mass Transfer</v>
      </c>
      <c r="C1389" s="1" t="s">
        <v>10</v>
      </c>
      <c r="D1389" s="1">
        <v>4220</v>
      </c>
      <c r="E1389" s="1">
        <v>3950</v>
      </c>
      <c r="F1389" s="1">
        <v>3380</v>
      </c>
      <c r="G1389" s="1">
        <v>523410</v>
      </c>
    </row>
    <row r="1390" spans="1:7" x14ac:dyDescent="0.25">
      <c r="A1390" s="1" t="s">
        <v>1605</v>
      </c>
      <c r="B1390" s="2" t="str">
        <f>HYPERLINK("https://www.elsevier.com/locate/issn/0278-4319", "International Journal of Hospitality Management")</f>
        <v>International Journal of Hospitality Management</v>
      </c>
      <c r="C1390" s="1" t="s">
        <v>10</v>
      </c>
      <c r="D1390" s="1">
        <v>4270</v>
      </c>
      <c r="E1390" s="1">
        <v>3990</v>
      </c>
      <c r="F1390" s="1">
        <v>3420</v>
      </c>
      <c r="G1390" s="1">
        <v>529610</v>
      </c>
    </row>
    <row r="1391" spans="1:7" x14ac:dyDescent="0.25">
      <c r="A1391" s="1" t="s">
        <v>1606</v>
      </c>
      <c r="B1391" s="2" t="str">
        <f>HYPERLINK("https://www.elsevier.com/locate/issn/1071-5819", "International Journal of Human-Computer Studies")</f>
        <v>International Journal of Human-Computer Studies</v>
      </c>
      <c r="C1391" s="1" t="s">
        <v>10</v>
      </c>
      <c r="D1391" s="1">
        <v>3510</v>
      </c>
      <c r="E1391" s="1">
        <v>3280</v>
      </c>
      <c r="F1391" s="1">
        <v>2810</v>
      </c>
      <c r="G1391" s="1">
        <v>435350</v>
      </c>
    </row>
    <row r="1392" spans="1:7" x14ac:dyDescent="0.25">
      <c r="A1392" s="1" t="s">
        <v>1607</v>
      </c>
      <c r="B1392" s="2" t="str">
        <f>HYPERLINK("https://www.elsevier.com/locate/issn/0360-3199", "International Journal of Hydrogen Energy")</f>
        <v>International Journal of Hydrogen Energy</v>
      </c>
      <c r="C1392" s="1" t="s">
        <v>10</v>
      </c>
      <c r="D1392" s="1">
        <v>3730</v>
      </c>
      <c r="E1392" s="1">
        <v>3490</v>
      </c>
      <c r="F1392" s="1">
        <v>2990</v>
      </c>
      <c r="G1392" s="1">
        <v>462630</v>
      </c>
    </row>
    <row r="1393" spans="1:7" x14ac:dyDescent="0.25">
      <c r="A1393" s="1" t="s">
        <v>1608</v>
      </c>
      <c r="B1393" s="2" t="str">
        <f>HYPERLINK("https://www.elsevier.com/locate/issn/1438-4639", "International Journal of Hygiene and Environmental Health")</f>
        <v>International Journal of Hygiene and Environmental Health</v>
      </c>
      <c r="C1393" s="1" t="s">
        <v>10</v>
      </c>
      <c r="D1393" s="1">
        <v>3800</v>
      </c>
      <c r="E1393" s="1">
        <v>3550</v>
      </c>
      <c r="F1393" s="1">
        <v>3040</v>
      </c>
      <c r="G1393" s="1">
        <v>471310</v>
      </c>
    </row>
    <row r="1394" spans="1:7" x14ac:dyDescent="0.25">
      <c r="A1394" s="1" t="s">
        <v>1609</v>
      </c>
      <c r="B1394" s="2" t="str">
        <f>HYPERLINK("https://www.elsevier.com/locate/issn/0734-743X", "International Journal of Impact Engineering")</f>
        <v>International Journal of Impact Engineering</v>
      </c>
      <c r="C1394" s="1" t="s">
        <v>10</v>
      </c>
      <c r="D1394" s="1">
        <v>4170</v>
      </c>
      <c r="E1394" s="1">
        <v>3900</v>
      </c>
      <c r="F1394" s="1">
        <v>3340</v>
      </c>
      <c r="G1394" s="1">
        <v>517210</v>
      </c>
    </row>
    <row r="1395" spans="1:7" x14ac:dyDescent="0.25">
      <c r="A1395" s="1" t="s">
        <v>1610</v>
      </c>
      <c r="B1395" s="2" t="str">
        <f>HYPERLINK("https://www.elsevier.com/locate/issn/0169-8141", "International Journal of Industrial Ergonomics")</f>
        <v>International Journal of Industrial Ergonomics</v>
      </c>
      <c r="C1395" s="1" t="s">
        <v>10</v>
      </c>
      <c r="D1395" s="1">
        <v>2990</v>
      </c>
      <c r="E1395" s="1">
        <v>2800</v>
      </c>
      <c r="F1395" s="1">
        <v>2390</v>
      </c>
      <c r="G1395" s="1">
        <v>370850</v>
      </c>
    </row>
    <row r="1396" spans="1:7" x14ac:dyDescent="0.25">
      <c r="A1396" s="1" t="s">
        <v>1611</v>
      </c>
      <c r="B1396" s="2" t="str">
        <f>HYPERLINK("https://www.elsevier.com/locate/issn/0167-7187", "International Journal of Industrial Organization")</f>
        <v>International Journal of Industrial Organization</v>
      </c>
      <c r="C1396" s="1" t="s">
        <v>10</v>
      </c>
      <c r="D1396" s="1">
        <v>3290</v>
      </c>
      <c r="E1396" s="1">
        <v>3080</v>
      </c>
      <c r="F1396" s="1">
        <v>2630</v>
      </c>
      <c r="G1396" s="1">
        <v>408060</v>
      </c>
    </row>
    <row r="1397" spans="1:7" x14ac:dyDescent="0.25">
      <c r="A1397" s="1" t="s">
        <v>1612</v>
      </c>
      <c r="B1397" s="2" t="str">
        <f>HYPERLINK("https://www.elsevier.com/locate/issn/1201-9712", "International Journal of Infectious Diseases")</f>
        <v>International Journal of Infectious Diseases</v>
      </c>
      <c r="C1397" s="1" t="s">
        <v>23</v>
      </c>
      <c r="D1397" s="1">
        <v>3100</v>
      </c>
      <c r="E1397" s="1">
        <v>2900</v>
      </c>
      <c r="F1397" s="1">
        <v>2480</v>
      </c>
      <c r="G1397" s="1">
        <v>384490</v>
      </c>
    </row>
    <row r="1398" spans="1:7" x14ac:dyDescent="0.25">
      <c r="A1398" s="1" t="s">
        <v>1613</v>
      </c>
      <c r="B1398" s="2" t="str">
        <f>HYPERLINK("https://www.elsevier.com/locate/issn/0268-4012", "International Journal of Information Management")</f>
        <v>International Journal of Information Management</v>
      </c>
      <c r="C1398" s="1" t="s">
        <v>10</v>
      </c>
      <c r="D1398" s="1">
        <v>3990</v>
      </c>
      <c r="E1398" s="1">
        <v>3730</v>
      </c>
      <c r="F1398" s="1">
        <v>3190</v>
      </c>
      <c r="G1398" s="1">
        <v>494880</v>
      </c>
    </row>
    <row r="1399" spans="1:7" x14ac:dyDescent="0.25">
      <c r="A1399" s="1" t="s">
        <v>1614</v>
      </c>
      <c r="B1399" s="2" t="str">
        <f>HYPERLINK("https://www.elsevier.com/locate/issn/2667-0968", "International Journal of Information Management Data Insights")</f>
        <v>International Journal of Information Management Data Insights</v>
      </c>
      <c r="C1399" s="1" t="s">
        <v>23</v>
      </c>
      <c r="D1399" s="1">
        <v>2190</v>
      </c>
      <c r="E1399" s="1">
        <v>2050</v>
      </c>
      <c r="F1399" s="1">
        <v>1750</v>
      </c>
      <c r="G1399" s="1">
        <v>271630</v>
      </c>
    </row>
    <row r="1400" spans="1:7" x14ac:dyDescent="0.25">
      <c r="A1400" s="1" t="s">
        <v>1615</v>
      </c>
      <c r="B1400" s="2" t="str">
        <f>HYPERLINK("https://www.elsevier.com/locate/issn/2096-2487", "International Journal of Innovation Studies")</f>
        <v>International Journal of Innovation Studies</v>
      </c>
      <c r="C1400" s="1" t="s">
        <v>34</v>
      </c>
      <c r="D1400" s="1" t="s">
        <v>324</v>
      </c>
      <c r="E1400" s="1" t="s">
        <v>324</v>
      </c>
      <c r="F1400" s="1" t="s">
        <v>324</v>
      </c>
      <c r="G1400" s="1" t="s">
        <v>324</v>
      </c>
    </row>
    <row r="1401" spans="1:7" x14ac:dyDescent="0.25">
      <c r="A1401" s="1" t="s">
        <v>1616</v>
      </c>
      <c r="B1401" s="2" t="str">
        <f>HYPERLINK("https://www.elsevier.com/locate/issn/2666-6030", "International Journal of Intelligent Networks")</f>
        <v>International Journal of Intelligent Networks</v>
      </c>
      <c r="C1401" s="1" t="s">
        <v>34</v>
      </c>
      <c r="D1401" s="1">
        <v>700</v>
      </c>
      <c r="E1401" s="1">
        <v>650</v>
      </c>
      <c r="F1401" s="1">
        <v>560</v>
      </c>
      <c r="G1401" s="1">
        <v>86820</v>
      </c>
    </row>
    <row r="1402" spans="1:7" x14ac:dyDescent="0.25">
      <c r="A1402" s="1" t="s">
        <v>1617</v>
      </c>
      <c r="B1402" s="2" t="str">
        <f>HYPERLINK("https://www.elsevier.com/locate/issn/0147-1767", "International Journal of Intercultural Relations")</f>
        <v>International Journal of Intercultural Relations</v>
      </c>
      <c r="C1402" s="1" t="s">
        <v>10</v>
      </c>
      <c r="D1402" s="1">
        <v>3420</v>
      </c>
      <c r="E1402" s="1">
        <v>3200</v>
      </c>
      <c r="F1402" s="1">
        <v>2740</v>
      </c>
      <c r="G1402" s="1">
        <v>424180</v>
      </c>
    </row>
    <row r="1403" spans="1:7" x14ac:dyDescent="0.25">
      <c r="A1403" s="1" t="s">
        <v>1618</v>
      </c>
      <c r="B1403" s="2" t="str">
        <f>HYPERLINK("https://www.elsevier.com/locate/issn/0160-2527", "International Journal of Law and Psychiatry")</f>
        <v>International Journal of Law and Psychiatry</v>
      </c>
      <c r="C1403" s="1" t="s">
        <v>10</v>
      </c>
      <c r="D1403" s="1">
        <v>3510</v>
      </c>
      <c r="E1403" s="1">
        <v>3280</v>
      </c>
      <c r="F1403" s="1">
        <v>2810</v>
      </c>
      <c r="G1403" s="1">
        <v>435350</v>
      </c>
    </row>
    <row r="1404" spans="1:7" x14ac:dyDescent="0.25">
      <c r="A1404" s="1" t="s">
        <v>1619</v>
      </c>
      <c r="B1404" s="2" t="str">
        <f>HYPERLINK("https://www.elsevier.com/locate/issn/2588-8404", "International Journal of Lightweight Materials and Manufacture")</f>
        <v>International Journal of Lightweight Materials and Manufacture</v>
      </c>
      <c r="C1404" s="1" t="s">
        <v>34</v>
      </c>
      <c r="D1404" s="1" t="s">
        <v>324</v>
      </c>
      <c r="E1404" s="1" t="s">
        <v>324</v>
      </c>
      <c r="F1404" s="1" t="s">
        <v>324</v>
      </c>
      <c r="G1404" s="1" t="s">
        <v>324</v>
      </c>
    </row>
    <row r="1405" spans="1:7" x14ac:dyDescent="0.25">
      <c r="A1405" s="1" t="s">
        <v>1620</v>
      </c>
      <c r="B1405" s="2" t="str">
        <f>HYPERLINK("https://www.elsevier.com/locate/issn/0890-6955", "International Journal of Machine Tools and Manufacture")</f>
        <v>International Journal of Machine Tools and Manufacture</v>
      </c>
      <c r="C1405" s="1" t="s">
        <v>10</v>
      </c>
      <c r="D1405" s="1">
        <v>5610</v>
      </c>
      <c r="E1405" s="1">
        <v>5250</v>
      </c>
      <c r="F1405" s="1">
        <v>4490</v>
      </c>
      <c r="G1405" s="1">
        <v>695810</v>
      </c>
    </row>
    <row r="1406" spans="1:7" x14ac:dyDescent="0.25">
      <c r="A1406" s="1" t="s">
        <v>1621</v>
      </c>
      <c r="B1406" s="2" t="str">
        <f>HYPERLINK("https://www.elsevier.com/locate/issn/1387-3806", "International Journal of Mass Spectrometry")</f>
        <v>International Journal of Mass Spectrometry</v>
      </c>
      <c r="C1406" s="1" t="s">
        <v>10</v>
      </c>
      <c r="D1406" s="1">
        <v>4110</v>
      </c>
      <c r="E1406" s="1">
        <v>3840</v>
      </c>
      <c r="F1406" s="1">
        <v>3290</v>
      </c>
      <c r="G1406" s="1">
        <v>509760</v>
      </c>
    </row>
    <row r="1407" spans="1:7" x14ac:dyDescent="0.25">
      <c r="A1407" s="1" t="s">
        <v>1622</v>
      </c>
      <c r="B1407" s="2" t="str">
        <f>HYPERLINK("https://www.elsevier.com/locate/issn/0020-7403", "International Journal of Mechanical Sciences")</f>
        <v>International Journal of Mechanical Sciences</v>
      </c>
      <c r="C1407" s="1" t="s">
        <v>10</v>
      </c>
      <c r="D1407" s="1">
        <v>4740</v>
      </c>
      <c r="E1407" s="1">
        <v>4430</v>
      </c>
      <c r="F1407" s="1">
        <v>3790</v>
      </c>
      <c r="G1407" s="1">
        <v>587900</v>
      </c>
    </row>
    <row r="1408" spans="1:7" x14ac:dyDescent="0.25">
      <c r="A1408" s="1" t="s">
        <v>1623</v>
      </c>
      <c r="B1408" s="2" t="str">
        <f>HYPERLINK("https://www.elsevier.com/locate/issn/1386-5056", "International Journal of Medical Informatics")</f>
        <v>International Journal of Medical Informatics</v>
      </c>
      <c r="C1408" s="1" t="s">
        <v>10</v>
      </c>
      <c r="D1408" s="1">
        <v>3150</v>
      </c>
      <c r="E1408" s="1">
        <v>2950</v>
      </c>
      <c r="F1408" s="1">
        <v>2520</v>
      </c>
      <c r="G1408" s="1">
        <v>390690</v>
      </c>
    </row>
    <row r="1409" spans="1:7" x14ac:dyDescent="0.25">
      <c r="A1409" s="1" t="s">
        <v>1624</v>
      </c>
      <c r="B1409" s="2" t="str">
        <f>HYPERLINK("https://www.elsevier.com/locate/issn/1438-4221", "International Journal of Medical Microbiology")</f>
        <v>International Journal of Medical Microbiology</v>
      </c>
      <c r="C1409" s="1" t="s">
        <v>23</v>
      </c>
      <c r="D1409" s="1">
        <v>3410</v>
      </c>
      <c r="E1409" s="1">
        <v>3190</v>
      </c>
      <c r="F1409" s="1">
        <v>2730</v>
      </c>
      <c r="G1409" s="1">
        <v>422940</v>
      </c>
    </row>
    <row r="1410" spans="1:7" x14ac:dyDescent="0.25">
      <c r="A1410" s="1" t="s">
        <v>1625</v>
      </c>
      <c r="B1410" s="2" t="str">
        <f>HYPERLINK("https://www.elsevier.com/locate/issn/2095-2686", "International Journal of Mining Science and Technology")</f>
        <v>International Journal of Mining Science and Technology</v>
      </c>
      <c r="C1410" s="1" t="s">
        <v>34</v>
      </c>
      <c r="D1410" s="1" t="s">
        <v>324</v>
      </c>
      <c r="E1410" s="1" t="s">
        <v>324</v>
      </c>
      <c r="F1410" s="1" t="s">
        <v>324</v>
      </c>
      <c r="G1410" s="1" t="s">
        <v>324</v>
      </c>
    </row>
    <row r="1411" spans="1:7" x14ac:dyDescent="0.25">
      <c r="A1411" s="1" t="s">
        <v>1626</v>
      </c>
      <c r="B1411" s="2" t="str">
        <f>HYPERLINK("https://www.elsevier.com/locate/issn/0301-9322", "International Journal of Multiphase Flow")</f>
        <v>International Journal of Multiphase Flow</v>
      </c>
      <c r="C1411" s="1" t="s">
        <v>10</v>
      </c>
      <c r="D1411" s="1">
        <v>3900</v>
      </c>
      <c r="E1411" s="1">
        <v>3650</v>
      </c>
      <c r="F1411" s="1">
        <v>3120</v>
      </c>
      <c r="G1411" s="1">
        <v>483720</v>
      </c>
    </row>
    <row r="1412" spans="1:7" x14ac:dyDescent="0.25">
      <c r="A1412" s="1" t="s">
        <v>1627</v>
      </c>
      <c r="B1412" s="2" t="str">
        <f>HYPERLINK("https://www.elsevier.com/locate/issn/2092-6782", "International Journal of Naval Architecture and Ocean Engineering")</f>
        <v>International Journal of Naval Architecture and Ocean Engineering</v>
      </c>
      <c r="C1412" s="1" t="s">
        <v>23</v>
      </c>
      <c r="D1412" s="1">
        <v>1200</v>
      </c>
      <c r="E1412" s="1">
        <v>1120</v>
      </c>
      <c r="F1412" s="1">
        <v>960</v>
      </c>
      <c r="G1412" s="1">
        <v>148840</v>
      </c>
    </row>
    <row r="1413" spans="1:7" x14ac:dyDescent="0.25">
      <c r="A1413" s="1" t="s">
        <v>1628</v>
      </c>
      <c r="B1413" s="2" t="str">
        <f>HYPERLINK("https://www.elsevier.com/locate/issn/0020-7462", "International Journal of Non-Linear Mechanics")</f>
        <v>International Journal of Non-Linear Mechanics</v>
      </c>
      <c r="C1413" s="1" t="s">
        <v>10</v>
      </c>
      <c r="D1413" s="1">
        <v>3750</v>
      </c>
      <c r="E1413" s="1">
        <v>3510</v>
      </c>
      <c r="F1413" s="1">
        <v>3000</v>
      </c>
      <c r="G1413" s="1">
        <v>465110</v>
      </c>
    </row>
    <row r="1414" spans="1:7" x14ac:dyDescent="0.25">
      <c r="A1414" s="1" t="s">
        <v>1629</v>
      </c>
      <c r="B1414" s="2" t="str">
        <f>HYPERLINK("https://www.elsevier.com/locate/issn/2352-0132", "International Journal of Nursing Sciences")</f>
        <v>International Journal of Nursing Sciences</v>
      </c>
      <c r="C1414" s="1" t="s">
        <v>34</v>
      </c>
      <c r="D1414" s="1" t="s">
        <v>324</v>
      </c>
      <c r="E1414" s="1" t="s">
        <v>324</v>
      </c>
      <c r="F1414" s="1" t="s">
        <v>324</v>
      </c>
      <c r="G1414" s="1" t="s">
        <v>324</v>
      </c>
    </row>
    <row r="1415" spans="1:7" x14ac:dyDescent="0.25">
      <c r="A1415" s="1" t="s">
        <v>1630</v>
      </c>
      <c r="B1415" s="2" t="str">
        <f>HYPERLINK("https://www.elsevier.com/locate/issn/0020-7489", "International Journal of Nursing Studies")</f>
        <v>International Journal of Nursing Studies</v>
      </c>
      <c r="C1415" s="1" t="s">
        <v>10</v>
      </c>
      <c r="D1415" s="1">
        <v>5840</v>
      </c>
      <c r="E1415" s="1">
        <v>5460</v>
      </c>
      <c r="F1415" s="1">
        <v>4680</v>
      </c>
      <c r="G1415" s="1">
        <v>724340</v>
      </c>
    </row>
    <row r="1416" spans="1:7" x14ac:dyDescent="0.25">
      <c r="A1416" s="1" t="s">
        <v>1631</v>
      </c>
      <c r="B1416" s="2" t="str">
        <f>HYPERLINK("https://www.elsevier.com/locate/issn/2666-142X", "International Journal of Nursing Studies Advances")</f>
        <v>International Journal of Nursing Studies Advances</v>
      </c>
      <c r="C1416" s="1" t="s">
        <v>23</v>
      </c>
      <c r="D1416" s="1">
        <v>2930</v>
      </c>
      <c r="E1416" s="1">
        <v>2740</v>
      </c>
      <c r="F1416" s="1">
        <v>2350</v>
      </c>
      <c r="G1416" s="1">
        <v>363410</v>
      </c>
    </row>
    <row r="1417" spans="1:7" x14ac:dyDescent="0.25">
      <c r="A1417" s="1" t="s">
        <v>1632</v>
      </c>
      <c r="B1417" s="2" t="str">
        <f>HYPERLINK("https://www.elsevier.com/locate/issn/0959-289X", "International Journal of Obstetric Anesthesia")</f>
        <v>International Journal of Obstetric Anesthesia</v>
      </c>
      <c r="C1417" s="1" t="s">
        <v>10</v>
      </c>
      <c r="D1417" s="1">
        <v>3250</v>
      </c>
      <c r="E1417" s="1">
        <v>3040</v>
      </c>
      <c r="F1417" s="1">
        <v>2600</v>
      </c>
      <c r="G1417" s="1">
        <v>403100</v>
      </c>
    </row>
    <row r="1418" spans="1:7" x14ac:dyDescent="0.25">
      <c r="A1418" s="1" t="s">
        <v>1633</v>
      </c>
      <c r="B1418" s="2" t="str">
        <f>HYPERLINK("https://www.elsevier.com/locate/issn/0901-5027", "International Journal of Oral and Maxillofacial Surgery")</f>
        <v>International Journal of Oral and Maxillofacial Surgery</v>
      </c>
      <c r="C1418" s="1" t="s">
        <v>10</v>
      </c>
      <c r="D1418" s="1">
        <v>4160</v>
      </c>
      <c r="E1418" s="1">
        <v>3890</v>
      </c>
      <c r="F1418" s="1">
        <v>3330</v>
      </c>
      <c r="G1418" s="1">
        <v>515960</v>
      </c>
    </row>
    <row r="1419" spans="1:7" x14ac:dyDescent="0.25">
      <c r="A1419" s="1" t="s">
        <v>1634</v>
      </c>
      <c r="B1419" s="2" t="str">
        <f>HYPERLINK("https://www.elsevier.com/locate/issn/1878-1241", "International Journal of Orthopaedic and Trauma Nursing")</f>
        <v>International Journal of Orthopaedic and Trauma Nursing</v>
      </c>
      <c r="C1419" s="1" t="s">
        <v>10</v>
      </c>
      <c r="D1419" s="1">
        <v>3160</v>
      </c>
      <c r="E1419" s="1">
        <v>2960</v>
      </c>
      <c r="F1419" s="1">
        <v>2530</v>
      </c>
      <c r="G1419" s="1">
        <v>391930</v>
      </c>
    </row>
    <row r="1420" spans="1:7" x14ac:dyDescent="0.25">
      <c r="A1420" s="1" t="s">
        <v>1635</v>
      </c>
      <c r="B1420" s="2" t="str">
        <f>HYPERLINK("https://www.elsevier.com/locate/issn/1746-0689", "International Journal of Osteopathic Medicine")</f>
        <v>International Journal of Osteopathic Medicine</v>
      </c>
      <c r="C1420" s="1" t="s">
        <v>10</v>
      </c>
      <c r="D1420" s="1">
        <v>2740</v>
      </c>
      <c r="E1420" s="1">
        <v>2560</v>
      </c>
      <c r="F1420" s="1">
        <v>2190</v>
      </c>
      <c r="G1420" s="1">
        <v>339840</v>
      </c>
    </row>
    <row r="1421" spans="1:7" x14ac:dyDescent="0.25">
      <c r="A1421" s="1" t="s">
        <v>1636</v>
      </c>
      <c r="B1421" s="2" t="str">
        <f>HYPERLINK("https://www.elsevier.com/locate/issn/1879-9817", "International Journal of Paleopathology")</f>
        <v>International Journal of Paleopathology</v>
      </c>
      <c r="C1421" s="1" t="s">
        <v>10</v>
      </c>
      <c r="D1421" s="1">
        <v>2910</v>
      </c>
      <c r="E1421" s="1">
        <v>2720</v>
      </c>
      <c r="F1421" s="1">
        <v>2330</v>
      </c>
      <c r="G1421" s="1">
        <v>360930</v>
      </c>
    </row>
    <row r="1422" spans="1:7" x14ac:dyDescent="0.25">
      <c r="A1422" s="1" t="s">
        <v>1637</v>
      </c>
      <c r="B1422" s="2" t="str">
        <f>HYPERLINK("https://www.elsevier.com/locate/issn/2331-5180", "International Journal of Particle Therapy")</f>
        <v>International Journal of Particle Therapy</v>
      </c>
      <c r="C1422" s="1" t="s">
        <v>23</v>
      </c>
      <c r="D1422" s="1">
        <v>1700</v>
      </c>
      <c r="E1422" s="1">
        <v>1590</v>
      </c>
      <c r="F1422" s="1">
        <v>1360</v>
      </c>
      <c r="G1422" s="1">
        <v>210850</v>
      </c>
    </row>
    <row r="1423" spans="1:7" x14ac:dyDescent="0.25">
      <c r="A1423" s="1" t="s">
        <v>1638</v>
      </c>
      <c r="B1423" s="2" t="str">
        <f>HYPERLINK("https://www.elsevier.com/locate/issn/0165-5876", "International Journal of Pediatric Otorhinolaryngology")</f>
        <v>International Journal of Pediatric Otorhinolaryngology</v>
      </c>
      <c r="C1423" s="1" t="s">
        <v>10</v>
      </c>
      <c r="D1423" s="1">
        <v>3590</v>
      </c>
      <c r="E1423" s="1">
        <v>3360</v>
      </c>
      <c r="F1423" s="1">
        <v>2870</v>
      </c>
      <c r="G1423" s="1">
        <v>445270</v>
      </c>
    </row>
    <row r="1424" spans="1:7" x14ac:dyDescent="0.25">
      <c r="A1424" s="1" t="s">
        <v>1639</v>
      </c>
      <c r="B1424" s="2" t="str">
        <f>HYPERLINK("https://www.elsevier.com/locate/issn/0378-5173", "International Journal of Pharmaceutics")</f>
        <v>International Journal of Pharmaceutics</v>
      </c>
      <c r="C1424" s="1" t="s">
        <v>10</v>
      </c>
      <c r="D1424" s="1">
        <v>4650</v>
      </c>
      <c r="E1424" s="1">
        <v>4350</v>
      </c>
      <c r="F1424" s="1">
        <v>3720</v>
      </c>
      <c r="G1424" s="1">
        <v>576740</v>
      </c>
    </row>
    <row r="1425" spans="1:7" x14ac:dyDescent="0.25">
      <c r="A1425" s="1" t="s">
        <v>1640</v>
      </c>
      <c r="B1425" s="2" t="str">
        <f>HYPERLINK("https://www.elsevier.com/locate/issn/2590-1567", "International Journal of Pharmaceutics: X")</f>
        <v>International Journal of Pharmaceutics: X</v>
      </c>
      <c r="C1425" s="1" t="s">
        <v>23</v>
      </c>
      <c r="D1425" s="1">
        <v>2590</v>
      </c>
      <c r="E1425" s="1">
        <v>2420</v>
      </c>
      <c r="F1425" s="1">
        <v>2070</v>
      </c>
      <c r="G1425" s="1">
        <v>321240</v>
      </c>
    </row>
    <row r="1426" spans="1:7" x14ac:dyDescent="0.25">
      <c r="A1426" s="1" t="s">
        <v>1641</v>
      </c>
      <c r="B1426" s="2" t="str">
        <f>HYPERLINK("https://www.elsevier.com/locate/issn/0749-6419", "International Journal of Plasticity")</f>
        <v>International Journal of Plasticity</v>
      </c>
      <c r="C1426" s="1" t="s">
        <v>10</v>
      </c>
      <c r="D1426" s="1">
        <v>3740</v>
      </c>
      <c r="E1426" s="1">
        <v>3500</v>
      </c>
      <c r="F1426" s="1">
        <v>2990</v>
      </c>
      <c r="G1426" s="1">
        <v>463870</v>
      </c>
    </row>
    <row r="1427" spans="1:7" x14ac:dyDescent="0.25">
      <c r="A1427" s="1" t="s">
        <v>1642</v>
      </c>
      <c r="B1427" s="2" t="str">
        <f>HYPERLINK("https://www.elsevier.com/locate/issn/0308-0161", "International Journal of Pressure Vessels and Piping")</f>
        <v>International Journal of Pressure Vessels and Piping</v>
      </c>
      <c r="C1427" s="1" t="s">
        <v>10</v>
      </c>
      <c r="D1427" s="1">
        <v>3620</v>
      </c>
      <c r="E1427" s="1">
        <v>3390</v>
      </c>
      <c r="F1427" s="1">
        <v>2900</v>
      </c>
      <c r="G1427" s="1">
        <v>448990</v>
      </c>
    </row>
    <row r="1428" spans="1:7" x14ac:dyDescent="0.25">
      <c r="A1428" s="1" t="s">
        <v>1643</v>
      </c>
      <c r="B1428" s="2" t="str">
        <f>HYPERLINK("https://www.elsevier.com/locate/issn/0925-5273", "International Journal of Production Economics")</f>
        <v>International Journal of Production Economics</v>
      </c>
      <c r="C1428" s="1" t="s">
        <v>10</v>
      </c>
      <c r="D1428" s="1">
        <v>4420</v>
      </c>
      <c r="E1428" s="1">
        <v>4130</v>
      </c>
      <c r="F1428" s="1">
        <v>3540</v>
      </c>
      <c r="G1428" s="1">
        <v>548210</v>
      </c>
    </row>
    <row r="1429" spans="1:7" x14ac:dyDescent="0.25">
      <c r="A1429" s="1" t="s">
        <v>1644</v>
      </c>
      <c r="B1429" s="2" t="str">
        <f>HYPERLINK("https://www.elsevier.com/locate/issn/0263-7863", "International Journal of Project Management")</f>
        <v>International Journal of Project Management</v>
      </c>
      <c r="C1429" s="1" t="s">
        <v>10</v>
      </c>
      <c r="D1429" s="1">
        <v>3200</v>
      </c>
      <c r="E1429" s="1">
        <v>2990</v>
      </c>
      <c r="F1429" s="1">
        <v>2560</v>
      </c>
      <c r="G1429" s="1">
        <v>396900</v>
      </c>
    </row>
    <row r="1430" spans="1:7" x14ac:dyDescent="0.25">
      <c r="A1430" s="1" t="s">
        <v>1645</v>
      </c>
      <c r="B1430" s="2" t="str">
        <f>HYPERLINK("https://www.elsevier.com/locate/issn/0167-8760", "International Journal of Psychophysiology")</f>
        <v>International Journal of Psychophysiology</v>
      </c>
      <c r="C1430" s="1" t="s">
        <v>10</v>
      </c>
      <c r="D1430" s="1">
        <v>3540</v>
      </c>
      <c r="E1430" s="1">
        <v>3310</v>
      </c>
      <c r="F1430" s="1">
        <v>2830</v>
      </c>
      <c r="G1430" s="1">
        <v>439070</v>
      </c>
    </row>
    <row r="1431" spans="1:7" x14ac:dyDescent="0.25">
      <c r="A1431" s="1" t="s">
        <v>1646</v>
      </c>
      <c r="B1431" s="2" t="str">
        <f>HYPERLINK("https://www.elsevier.com/locate/issn/0263-4368", "International Journal of Refractory Metals and Hard Materials")</f>
        <v>International Journal of Refractory Metals and Hard Materials</v>
      </c>
      <c r="C1431" s="1" t="s">
        <v>10</v>
      </c>
      <c r="D1431" s="1">
        <v>3310</v>
      </c>
      <c r="E1431" s="1">
        <v>3100</v>
      </c>
      <c r="F1431" s="1">
        <v>2650</v>
      </c>
      <c r="G1431" s="1">
        <v>410540</v>
      </c>
    </row>
    <row r="1432" spans="1:7" x14ac:dyDescent="0.25">
      <c r="A1432" s="1" t="s">
        <v>1647</v>
      </c>
      <c r="B1432" s="2" t="str">
        <f>HYPERLINK("https://www.elsevier.com/locate/issn/0140-7007", "International Journal of Refrigeration")</f>
        <v>International Journal of Refrigeration</v>
      </c>
      <c r="C1432" s="1" t="s">
        <v>10</v>
      </c>
      <c r="D1432" s="1">
        <v>3250</v>
      </c>
      <c r="E1432" s="1">
        <v>3040</v>
      </c>
      <c r="F1432" s="1">
        <v>2600</v>
      </c>
      <c r="G1432" s="1">
        <v>403100</v>
      </c>
    </row>
    <row r="1433" spans="1:7" x14ac:dyDescent="0.25">
      <c r="A1433" s="1" t="s">
        <v>1648</v>
      </c>
      <c r="B1433" s="2" t="str">
        <f>HYPERLINK("https://www.elsevier.com/locate/issn/0167-8116", "International Journal of Research in Marketing")</f>
        <v>International Journal of Research in Marketing</v>
      </c>
      <c r="C1433" s="1" t="s">
        <v>10</v>
      </c>
      <c r="D1433" s="1">
        <v>4000</v>
      </c>
      <c r="E1433" s="1">
        <v>3740</v>
      </c>
      <c r="F1433" s="1">
        <v>3200</v>
      </c>
      <c r="G1433" s="1">
        <v>496120</v>
      </c>
    </row>
    <row r="1434" spans="1:7" x14ac:dyDescent="0.25">
      <c r="A1434" s="1" t="s">
        <v>1649</v>
      </c>
      <c r="B1434" s="2" t="str">
        <f>HYPERLINK("https://www.elsevier.com/locate/issn/1365-1609", "International Journal of Rock Mechanics and Mining Sciences")</f>
        <v>International Journal of Rock Mechanics and Mining Sciences</v>
      </c>
      <c r="C1434" s="1" t="s">
        <v>10</v>
      </c>
      <c r="D1434" s="1">
        <v>4110</v>
      </c>
      <c r="E1434" s="1">
        <v>3840</v>
      </c>
      <c r="F1434" s="1">
        <v>3290</v>
      </c>
      <c r="G1434" s="1">
        <v>509760</v>
      </c>
    </row>
    <row r="1435" spans="1:7" x14ac:dyDescent="0.25">
      <c r="A1435" s="1" t="s">
        <v>1650</v>
      </c>
      <c r="B1435" s="2" t="str">
        <f>HYPERLINK("https://www.elsevier.com/locate/issn/1001-6279", "International Journal of Sediment Research")</f>
        <v>International Journal of Sediment Research</v>
      </c>
      <c r="C1435" s="1" t="s">
        <v>34</v>
      </c>
      <c r="D1435" s="1" t="s">
        <v>324</v>
      </c>
      <c r="E1435" s="1" t="s">
        <v>324</v>
      </c>
      <c r="F1435" s="1" t="s">
        <v>324</v>
      </c>
      <c r="G1435" s="1" t="s">
        <v>324</v>
      </c>
    </row>
    <row r="1436" spans="1:7" x14ac:dyDescent="0.25">
      <c r="A1436" s="1" t="s">
        <v>1651</v>
      </c>
      <c r="B1436" s="2" t="str">
        <f>HYPERLINK("https://www.elsevier.com/locate/issn/0020-7683", "International Journal of Solids and Structures")</f>
        <v>International Journal of Solids and Structures</v>
      </c>
      <c r="C1436" s="1" t="s">
        <v>10</v>
      </c>
      <c r="D1436" s="1">
        <v>3790</v>
      </c>
      <c r="E1436" s="1">
        <v>3550</v>
      </c>
      <c r="F1436" s="1">
        <v>3030</v>
      </c>
      <c r="G1436" s="1">
        <v>470070</v>
      </c>
    </row>
    <row r="1437" spans="1:7" x14ac:dyDescent="0.25">
      <c r="A1437" s="1" t="s">
        <v>1652</v>
      </c>
      <c r="B1437" s="2" t="str">
        <f>HYPERLINK("https://www.elsevier.com/locate/issn/2210-2612", "International Journal of Surgery Case Reports")</f>
        <v>International Journal of Surgery Case Reports</v>
      </c>
      <c r="C1437" s="1" t="s">
        <v>23</v>
      </c>
      <c r="D1437" s="1">
        <v>2090</v>
      </c>
      <c r="E1437" s="1">
        <v>1960</v>
      </c>
      <c r="F1437" s="1">
        <v>1670</v>
      </c>
      <c r="G1437" s="1">
        <v>259220</v>
      </c>
    </row>
    <row r="1438" spans="1:7" x14ac:dyDescent="0.25">
      <c r="A1438" s="1" t="s">
        <v>1653</v>
      </c>
      <c r="B1438" s="2" t="str">
        <f>HYPERLINK("https://www.elsevier.com/locate/issn/2405-8572", "International Journal of Surgery Open")</f>
        <v>International Journal of Surgery Open</v>
      </c>
      <c r="C1438" s="1" t="s">
        <v>23</v>
      </c>
      <c r="D1438" s="1">
        <v>1700</v>
      </c>
      <c r="E1438" s="1">
        <v>1590</v>
      </c>
      <c r="F1438" s="1">
        <v>1360</v>
      </c>
      <c r="G1438" s="1">
        <v>210850</v>
      </c>
    </row>
    <row r="1439" spans="1:7" x14ac:dyDescent="0.25">
      <c r="A1439" s="1" t="s">
        <v>1654</v>
      </c>
      <c r="B1439" s="2" t="str">
        <f>HYPERLINK("https://www.elsevier.com/locate/issn/1290-0729", "International Journal of Thermal Sciences")</f>
        <v>International Journal of Thermal Sciences</v>
      </c>
      <c r="C1439" s="1" t="s">
        <v>10</v>
      </c>
      <c r="D1439" s="1">
        <v>3920</v>
      </c>
      <c r="E1439" s="1">
        <v>3670</v>
      </c>
      <c r="F1439" s="1">
        <v>3140</v>
      </c>
      <c r="G1439" s="1">
        <v>486200</v>
      </c>
    </row>
    <row r="1440" spans="1:7" x14ac:dyDescent="0.25">
      <c r="A1440" s="1" t="s">
        <v>1655</v>
      </c>
      <c r="B1440" s="2" t="str">
        <f>HYPERLINK("https://www.elsevier.com/locate/issn/2666-2027", "International Journal of Thermofluids")</f>
        <v>International Journal of Thermofluids</v>
      </c>
      <c r="C1440" s="1" t="s">
        <v>23</v>
      </c>
      <c r="D1440" s="1">
        <v>2320</v>
      </c>
      <c r="E1440" s="1">
        <v>2170</v>
      </c>
      <c r="F1440" s="1">
        <v>1860</v>
      </c>
      <c r="G1440" s="1">
        <v>287750</v>
      </c>
    </row>
    <row r="1441" spans="1:7" x14ac:dyDescent="0.25">
      <c r="A1441" s="1" t="s">
        <v>1656</v>
      </c>
      <c r="B1441" s="2" t="str">
        <f>HYPERLINK("https://www.elsevier.com/locate/issn/2046-0430", "International Journal of Transportation Science and Technology")</f>
        <v>International Journal of Transportation Science and Technology</v>
      </c>
      <c r="C1441" s="1" t="s">
        <v>34</v>
      </c>
      <c r="D1441" s="1" t="s">
        <v>324</v>
      </c>
      <c r="E1441" s="1" t="s">
        <v>324</v>
      </c>
      <c r="F1441" s="1" t="s">
        <v>324</v>
      </c>
      <c r="G1441" s="1" t="s">
        <v>324</v>
      </c>
    </row>
    <row r="1442" spans="1:7" x14ac:dyDescent="0.25">
      <c r="A1442" s="1" t="s">
        <v>1657</v>
      </c>
      <c r="B1442" s="2" t="str">
        <f>HYPERLINK("https://www.elsevier.com/locate/issn/1761-7227", "International Orthodontics")</f>
        <v>International Orthodontics</v>
      </c>
      <c r="C1442" s="1" t="s">
        <v>10</v>
      </c>
      <c r="D1442" s="1">
        <v>2570</v>
      </c>
      <c r="E1442" s="1">
        <v>2340</v>
      </c>
      <c r="F1442" s="1">
        <v>2060</v>
      </c>
      <c r="G1442" s="1">
        <v>318760</v>
      </c>
    </row>
    <row r="1443" spans="1:7" x14ac:dyDescent="0.25">
      <c r="A1443" s="1" t="s">
        <v>1658</v>
      </c>
      <c r="B1443" s="2" t="str">
        <f>HYPERLINK("https://www.elsevier.com/locate/issn/1041-6102", "International Psychogeriatrics")</f>
        <v>International Psychogeriatrics</v>
      </c>
      <c r="C1443" s="1" t="s">
        <v>23</v>
      </c>
      <c r="D1443" s="1">
        <v>3500</v>
      </c>
      <c r="E1443" s="1">
        <v>3270</v>
      </c>
      <c r="F1443" s="1">
        <v>2800</v>
      </c>
      <c r="G1443" s="1">
        <v>434110</v>
      </c>
    </row>
    <row r="1444" spans="1:7" x14ac:dyDescent="0.25">
      <c r="A1444" s="1" t="s">
        <v>1659</v>
      </c>
      <c r="B1444" s="2" t="str">
        <f>HYPERLINK("https://www.elsevier.com/locate/issn/1059-0560", "International Review of Economics &amp; Finance")</f>
        <v>International Review of Economics &amp; Finance</v>
      </c>
      <c r="C1444" s="1" t="s">
        <v>23</v>
      </c>
      <c r="D1444" s="1">
        <v>1930</v>
      </c>
      <c r="E1444" s="1">
        <v>1810</v>
      </c>
      <c r="F1444" s="1">
        <v>1550</v>
      </c>
      <c r="G1444" s="1">
        <v>239380</v>
      </c>
    </row>
    <row r="1445" spans="1:7" x14ac:dyDescent="0.25">
      <c r="A1445" s="1" t="s">
        <v>1660</v>
      </c>
      <c r="B1445" s="2" t="str">
        <f>HYPERLINK("https://www.elsevier.com/locate/issn/1477-3880", "International Review of Economics Education")</f>
        <v>International Review of Economics Education</v>
      </c>
      <c r="C1445" s="1" t="s">
        <v>10</v>
      </c>
      <c r="D1445" s="1">
        <v>3860</v>
      </c>
      <c r="E1445" s="1">
        <v>3610</v>
      </c>
      <c r="F1445" s="1">
        <v>3090</v>
      </c>
      <c r="G1445" s="1">
        <v>478760</v>
      </c>
    </row>
    <row r="1446" spans="1:7" x14ac:dyDescent="0.25">
      <c r="A1446" s="1" t="s">
        <v>1661</v>
      </c>
      <c r="B1446" s="2" t="str">
        <f>HYPERLINK("https://www.elsevier.com/locate/issn/1057-5219", "International Review of Financial Analysis")</f>
        <v>International Review of Financial Analysis</v>
      </c>
      <c r="C1446" s="1" t="s">
        <v>10</v>
      </c>
      <c r="D1446" s="1">
        <v>3770</v>
      </c>
      <c r="E1446" s="1">
        <v>3530</v>
      </c>
      <c r="F1446" s="1">
        <v>3020</v>
      </c>
      <c r="G1446" s="1">
        <v>467590</v>
      </c>
    </row>
    <row r="1447" spans="1:7" x14ac:dyDescent="0.25">
      <c r="A1447" s="1" t="s">
        <v>1662</v>
      </c>
      <c r="B1447" s="2" t="str">
        <f>HYPERLINK("https://www.elsevier.com/locate/issn/0144-8188", "International Review of Law and Economics")</f>
        <v>International Review of Law and Economics</v>
      </c>
      <c r="C1447" s="1" t="s">
        <v>10</v>
      </c>
      <c r="D1447" s="1">
        <v>2990</v>
      </c>
      <c r="E1447" s="1">
        <v>2800</v>
      </c>
      <c r="F1447" s="1">
        <v>2390</v>
      </c>
      <c r="G1447" s="1">
        <v>370850</v>
      </c>
    </row>
    <row r="1448" spans="1:7" x14ac:dyDescent="0.25">
      <c r="A1448" s="1" t="s">
        <v>1663</v>
      </c>
      <c r="B1448" s="2" t="str">
        <f>HYPERLINK("https://www.elsevier.com/locate/issn/2095-6339", "International Soil and Water Conservation Research")</f>
        <v>International Soil and Water Conservation Research</v>
      </c>
      <c r="C1448" s="1" t="s">
        <v>34</v>
      </c>
      <c r="D1448" s="1" t="s">
        <v>324</v>
      </c>
      <c r="E1448" s="1" t="s">
        <v>324</v>
      </c>
      <c r="F1448" s="1" t="s">
        <v>324</v>
      </c>
      <c r="G1448" s="1" t="s">
        <v>324</v>
      </c>
    </row>
    <row r="1449" spans="1:7" x14ac:dyDescent="0.25">
      <c r="A1449" s="1" t="s">
        <v>1664</v>
      </c>
      <c r="B1449" s="2" t="str">
        <f>HYPERLINK("https://www.elsevier.com/locate/issn/2214-7829", "Internet Interventions")</f>
        <v>Internet Interventions</v>
      </c>
      <c r="C1449" s="1" t="s">
        <v>23</v>
      </c>
      <c r="D1449" s="1">
        <v>2980</v>
      </c>
      <c r="E1449" s="1">
        <v>2790</v>
      </c>
      <c r="F1449" s="1">
        <v>2390</v>
      </c>
      <c r="G1449" s="1">
        <v>369610</v>
      </c>
    </row>
    <row r="1450" spans="1:7" x14ac:dyDescent="0.25">
      <c r="A1450" s="1" t="s">
        <v>1665</v>
      </c>
      <c r="B1450" s="2" t="str">
        <f>HYPERLINK("https://www.elsevier.com/locate/issn/2542-6605", "Internet of Things")</f>
        <v>Internet of Things</v>
      </c>
      <c r="C1450" s="1" t="s">
        <v>10</v>
      </c>
      <c r="D1450" s="1">
        <v>2690</v>
      </c>
      <c r="E1450" s="1">
        <v>2520</v>
      </c>
      <c r="F1450" s="1">
        <v>2150</v>
      </c>
      <c r="G1450" s="1">
        <v>333640</v>
      </c>
    </row>
    <row r="1451" spans="1:7" x14ac:dyDescent="0.25">
      <c r="A1451" s="1" t="s">
        <v>1666</v>
      </c>
      <c r="B1451" s="2" t="str">
        <f>HYPERLINK("https://www.elsevier.com/locate/issn/2667-3452", "Internet of Things and Cyber-Physical Systems")</f>
        <v>Internet of Things and Cyber-Physical Systems</v>
      </c>
      <c r="C1451" s="1" t="s">
        <v>34</v>
      </c>
      <c r="D1451" s="1" t="s">
        <v>324</v>
      </c>
      <c r="E1451" s="1" t="s">
        <v>324</v>
      </c>
      <c r="F1451" s="1" t="s">
        <v>324</v>
      </c>
      <c r="G1451" s="1" t="s">
        <v>324</v>
      </c>
    </row>
    <row r="1452" spans="1:7" x14ac:dyDescent="0.25">
      <c r="A1452" s="1" t="s">
        <v>1667</v>
      </c>
      <c r="B1452" s="2" t="str">
        <f>HYPERLINK("https://www.elsevier.com/locate/issn/2772-5944", "Interventional Pain Medicine")</f>
        <v>Interventional Pain Medicine</v>
      </c>
      <c r="C1452" s="1" t="s">
        <v>23</v>
      </c>
      <c r="D1452" s="1">
        <v>2400</v>
      </c>
      <c r="E1452" s="1">
        <v>2250</v>
      </c>
      <c r="F1452" s="1">
        <v>1920</v>
      </c>
      <c r="G1452" s="1">
        <v>297670</v>
      </c>
    </row>
    <row r="1453" spans="1:7" x14ac:dyDescent="0.25">
      <c r="A1453" s="1" t="s">
        <v>1668</v>
      </c>
      <c r="B1453" s="2" t="str">
        <f>HYPERLINK("https://www.elsevier.com/locate/issn/2950-4562", "Intestinal Failure")</f>
        <v>Intestinal Failure</v>
      </c>
      <c r="C1453" s="1" t="s">
        <v>23</v>
      </c>
      <c r="D1453" s="1">
        <v>2750</v>
      </c>
      <c r="E1453" s="1">
        <v>2570</v>
      </c>
      <c r="F1453" s="1">
        <v>2200</v>
      </c>
      <c r="G1453" s="1">
        <v>341080</v>
      </c>
    </row>
    <row r="1454" spans="1:7" x14ac:dyDescent="0.25">
      <c r="A1454" s="1" t="s">
        <v>1669</v>
      </c>
      <c r="B1454" s="2" t="str">
        <f>HYPERLINK("https://www.elsevier.com/locate/issn/2772-4441", "Invention Disclosure")</f>
        <v>Invention Disclosure</v>
      </c>
      <c r="C1454" s="1" t="s">
        <v>23</v>
      </c>
      <c r="D1454" s="1">
        <v>820</v>
      </c>
      <c r="E1454" s="1">
        <v>770</v>
      </c>
      <c r="F1454" s="1">
        <v>660</v>
      </c>
      <c r="G1454" s="1">
        <v>101700</v>
      </c>
    </row>
    <row r="1455" spans="1:7" x14ac:dyDescent="0.25">
      <c r="A1455" s="1" t="s">
        <v>1670</v>
      </c>
      <c r="B1455" s="2" t="str">
        <f>HYPERLINK("https://www.elsevier.com/locate/issn/3051-1771", "iOptics")</f>
        <v>iOptics</v>
      </c>
      <c r="C1455" s="1" t="s">
        <v>34</v>
      </c>
      <c r="D1455" s="1" t="s">
        <v>324</v>
      </c>
      <c r="E1455" s="1" t="s">
        <v>324</v>
      </c>
      <c r="F1455" s="1" t="s">
        <v>324</v>
      </c>
      <c r="G1455" s="1" t="s">
        <v>324</v>
      </c>
    </row>
    <row r="1456" spans="1:7" x14ac:dyDescent="0.25">
      <c r="A1456" s="1" t="s">
        <v>1671</v>
      </c>
      <c r="B1456" s="2" t="str">
        <f>HYPERLINK("https://www.elsevier.com/locate/issn/2667-2588", "IPEM-Translation")</f>
        <v>IPEM-Translation</v>
      </c>
      <c r="C1456" s="1" t="s">
        <v>23</v>
      </c>
      <c r="D1456" s="1">
        <v>1550</v>
      </c>
      <c r="E1456" s="1">
        <v>1450</v>
      </c>
      <c r="F1456" s="1">
        <v>1240</v>
      </c>
      <c r="G1456" s="1">
        <v>192250</v>
      </c>
    </row>
    <row r="1457" spans="1:7" x14ac:dyDescent="0.25">
      <c r="A1457" s="1" t="s">
        <v>1672</v>
      </c>
      <c r="B1457" s="2" t="str">
        <f>HYPERLINK("https://www.elsevier.com/locate/issn/1959-0318", "IRBM")</f>
        <v>IRBM</v>
      </c>
      <c r="C1457" s="1" t="s">
        <v>10</v>
      </c>
      <c r="D1457" s="1">
        <v>2440</v>
      </c>
      <c r="E1457" s="1">
        <v>2230</v>
      </c>
      <c r="F1457" s="1">
        <v>1950</v>
      </c>
      <c r="G1457" s="1">
        <v>302630</v>
      </c>
    </row>
    <row r="1458" spans="1:7" x14ac:dyDescent="0.25">
      <c r="A1458" s="1" t="s">
        <v>1673</v>
      </c>
      <c r="B1458" s="2" t="str">
        <f>HYPERLINK("https://www.elsevier.com/locate/issn/0019-0578", "ISA Transactions")</f>
        <v>ISA Transactions</v>
      </c>
      <c r="C1458" s="1" t="s">
        <v>10</v>
      </c>
      <c r="D1458" s="1">
        <v>4150</v>
      </c>
      <c r="E1458" s="1">
        <v>3880</v>
      </c>
      <c r="F1458" s="1">
        <v>3320</v>
      </c>
      <c r="G1458" s="1">
        <v>514720</v>
      </c>
    </row>
    <row r="1459" spans="1:7" x14ac:dyDescent="0.25">
      <c r="A1459" s="1" t="s">
        <v>1674</v>
      </c>
      <c r="B1459" s="2" t="str">
        <f>HYPERLINK("https://www.elsevier.com/locate/issn/2589-0042", "iScience")</f>
        <v>iScience</v>
      </c>
      <c r="C1459" s="1" t="s">
        <v>23</v>
      </c>
      <c r="D1459" s="1">
        <v>3240</v>
      </c>
      <c r="E1459" s="1">
        <v>3000</v>
      </c>
      <c r="F1459" s="1">
        <v>2590</v>
      </c>
      <c r="G1459" s="1">
        <v>401860</v>
      </c>
    </row>
    <row r="1460" spans="1:7" x14ac:dyDescent="0.25">
      <c r="A1460" s="1" t="s">
        <v>1675</v>
      </c>
      <c r="B1460" s="2" t="str">
        <f>HYPERLINK("https://www.elsevier.com/locate/issn/0924-2716", "ISPRS Journal of Photogrammetry and Remote Sensing")</f>
        <v>ISPRS Journal of Photogrammetry and Remote Sensing</v>
      </c>
      <c r="C1460" s="1" t="s">
        <v>10</v>
      </c>
      <c r="D1460" s="1">
        <v>3310</v>
      </c>
      <c r="E1460" s="1">
        <v>3100</v>
      </c>
      <c r="F1460" s="1">
        <v>2650</v>
      </c>
      <c r="G1460" s="1">
        <v>410540</v>
      </c>
    </row>
    <row r="1461" spans="1:7" x14ac:dyDescent="0.25">
      <c r="A1461" s="1" t="s">
        <v>1676</v>
      </c>
      <c r="B1461" s="2" t="str">
        <f>HYPERLINK("https://www.elsevier.com/locate/issn/2667-3932", "ISPRS Open Journal of Photogrammetry and Remote Sensing")</f>
        <v>ISPRS Open Journal of Photogrammetry and Remote Sensing</v>
      </c>
      <c r="C1461" s="1" t="s">
        <v>23</v>
      </c>
      <c r="D1461" s="1">
        <v>1800</v>
      </c>
      <c r="E1461" s="1">
        <v>1680</v>
      </c>
      <c r="F1461" s="1">
        <v>1440</v>
      </c>
      <c r="G1461" s="1">
        <v>223250</v>
      </c>
    </row>
    <row r="1462" spans="1:7" x14ac:dyDescent="0.25">
      <c r="A1462" s="1" t="s">
        <v>1677</v>
      </c>
      <c r="B1462" s="2" t="str">
        <f>HYPERLINK("https://www.elsevier.com/locate/issn/1125-4718", "Italian Journal of Agronomy")</f>
        <v>Italian Journal of Agronomy</v>
      </c>
      <c r="C1462" s="1" t="s">
        <v>23</v>
      </c>
      <c r="D1462" s="1">
        <v>1640</v>
      </c>
      <c r="E1462" s="1">
        <v>1500</v>
      </c>
      <c r="F1462" s="1">
        <v>1320</v>
      </c>
      <c r="G1462" s="1">
        <v>203410</v>
      </c>
    </row>
    <row r="1463" spans="1:7" x14ac:dyDescent="0.25">
      <c r="A1463" s="1" t="s">
        <v>1678</v>
      </c>
      <c r="B1463" s="2" t="str">
        <f>HYPERLINK("https://www.elsevier.com/locate/issn/2949-7329", "JAACAP Open")</f>
        <v>JAACAP Open</v>
      </c>
      <c r="C1463" s="1" t="s">
        <v>23</v>
      </c>
      <c r="D1463" s="1">
        <v>2600</v>
      </c>
      <c r="E1463" s="1">
        <v>2430</v>
      </c>
      <c r="F1463" s="1">
        <v>2080</v>
      </c>
      <c r="G1463" s="1">
        <v>322480</v>
      </c>
    </row>
    <row r="1464" spans="1:7" x14ac:dyDescent="0.25">
      <c r="A1464" s="1" t="s">
        <v>1679</v>
      </c>
      <c r="B1464" s="2" t="str">
        <f>HYPERLINK("https://www.elsevier.com/locate/issn/2352-5126", "JAAD Case Reports")</f>
        <v>JAAD Case Reports</v>
      </c>
      <c r="C1464" s="1" t="s">
        <v>23</v>
      </c>
      <c r="D1464" s="1">
        <v>750</v>
      </c>
      <c r="E1464" s="1">
        <v>700</v>
      </c>
      <c r="F1464" s="1">
        <v>600</v>
      </c>
      <c r="G1464" s="1">
        <v>93020</v>
      </c>
    </row>
    <row r="1465" spans="1:7" x14ac:dyDescent="0.25">
      <c r="A1465" s="1" t="s">
        <v>1680</v>
      </c>
      <c r="B1465" s="2" t="str">
        <f>HYPERLINK("https://www.elsevier.com/locate/issn/2666-3287", "JAAD International")</f>
        <v>JAAD International</v>
      </c>
      <c r="C1465" s="1" t="s">
        <v>23</v>
      </c>
      <c r="D1465" s="1">
        <v>2575</v>
      </c>
      <c r="E1465" s="1">
        <v>2410</v>
      </c>
      <c r="F1465" s="1">
        <v>2060</v>
      </c>
      <c r="G1465" s="1">
        <v>319380</v>
      </c>
    </row>
    <row r="1466" spans="1:7" x14ac:dyDescent="0.25">
      <c r="A1466" s="1" t="s">
        <v>1681</v>
      </c>
      <c r="B1466" s="2" t="str">
        <f>HYPERLINK("https://www.elsevier.com/locate/issn/2950-1989", "JAAD Reviews")</f>
        <v>JAAD Reviews</v>
      </c>
      <c r="C1466" s="1" t="s">
        <v>23</v>
      </c>
      <c r="D1466" s="1">
        <v>2000</v>
      </c>
      <c r="E1466" s="1">
        <v>1870</v>
      </c>
      <c r="F1466" s="1">
        <v>1600</v>
      </c>
      <c r="G1466" s="1">
        <v>248060</v>
      </c>
    </row>
    <row r="1467" spans="1:7" x14ac:dyDescent="0.25">
      <c r="A1467" s="1" t="s">
        <v>1682</v>
      </c>
      <c r="B1467" s="2" t="str">
        <f>HYPERLINK("https://www.elsevier.com/locate/issn/2772-963X", "JACC: Advances")</f>
        <v>JACC: Advances</v>
      </c>
      <c r="C1467" s="1" t="s">
        <v>23</v>
      </c>
      <c r="D1467" s="1">
        <v>2936</v>
      </c>
      <c r="E1467" s="1">
        <v>2750</v>
      </c>
      <c r="F1467" s="1">
        <v>2350</v>
      </c>
      <c r="G1467" s="1">
        <v>364150</v>
      </c>
    </row>
    <row r="1468" spans="1:7" x14ac:dyDescent="0.25">
      <c r="A1468" s="1" t="s">
        <v>1683</v>
      </c>
      <c r="B1468" s="2" t="str">
        <f>HYPERLINK("https://www.elsevier.com/locate/issn/2772-3747", "JACC: Asia")</f>
        <v>JACC: Asia</v>
      </c>
      <c r="C1468" s="1" t="s">
        <v>23</v>
      </c>
      <c r="D1468" s="1">
        <v>4084</v>
      </c>
      <c r="E1468" s="1">
        <v>3820</v>
      </c>
      <c r="F1468" s="1">
        <v>3270</v>
      </c>
      <c r="G1468" s="1">
        <v>506540</v>
      </c>
    </row>
    <row r="1469" spans="1:7" x14ac:dyDescent="0.25">
      <c r="A1469" s="1" t="s">
        <v>1684</v>
      </c>
      <c r="B1469" s="2" t="str">
        <f>HYPERLINK("https://www.elsevier.com/locate/issn/2452-302X", "JACC: Basic to Translational Science")</f>
        <v>JACC: Basic to Translational Science</v>
      </c>
      <c r="C1469" s="1" t="s">
        <v>23</v>
      </c>
      <c r="D1469" s="1">
        <v>4750</v>
      </c>
      <c r="E1469" s="1">
        <v>4440</v>
      </c>
      <c r="F1469" s="1">
        <v>3800</v>
      </c>
      <c r="G1469" s="1">
        <v>589140</v>
      </c>
    </row>
    <row r="1470" spans="1:7" x14ac:dyDescent="0.25">
      <c r="A1470" s="1" t="s">
        <v>1685</v>
      </c>
      <c r="B1470" s="2" t="str">
        <f>HYPERLINK("https://www.elsevier.com/locate/issn/2666-0873", "JACC: CardioOncology")</f>
        <v>JACC: CardioOncology</v>
      </c>
      <c r="C1470" s="1" t="s">
        <v>23</v>
      </c>
      <c r="D1470" s="1">
        <v>4200</v>
      </c>
      <c r="E1470" s="1">
        <v>3930</v>
      </c>
      <c r="F1470" s="1">
        <v>3360</v>
      </c>
      <c r="G1470" s="1">
        <v>520930</v>
      </c>
    </row>
    <row r="1471" spans="1:7" x14ac:dyDescent="0.25">
      <c r="A1471" s="1" t="s">
        <v>1686</v>
      </c>
      <c r="B1471" s="2" t="str">
        <f>HYPERLINK("https://www.elsevier.com/locate/issn/1936-878X", "JACC: Cardiovascular Imaging")</f>
        <v>JACC: Cardiovascular Imaging</v>
      </c>
      <c r="C1471" s="1" t="s">
        <v>10</v>
      </c>
      <c r="D1471" s="1">
        <v>5000</v>
      </c>
      <c r="E1471" s="1">
        <v>4680</v>
      </c>
      <c r="F1471" s="1">
        <v>4000</v>
      </c>
      <c r="G1471" s="1">
        <v>620150</v>
      </c>
    </row>
    <row r="1472" spans="1:7" x14ac:dyDescent="0.25">
      <c r="A1472" s="1" t="s">
        <v>1687</v>
      </c>
      <c r="B1472" s="2" t="str">
        <f>HYPERLINK("https://www.elsevier.com/locate/issn/1936-8798", "JACC: Cardiovascular Interventions")</f>
        <v>JACC: Cardiovascular Interventions</v>
      </c>
      <c r="C1472" s="1" t="s">
        <v>10</v>
      </c>
      <c r="D1472" s="1">
        <v>5000</v>
      </c>
      <c r="E1472" s="1">
        <v>4680</v>
      </c>
      <c r="F1472" s="1">
        <v>4000</v>
      </c>
      <c r="G1472" s="1">
        <v>620150</v>
      </c>
    </row>
    <row r="1473" spans="1:7" x14ac:dyDescent="0.25">
      <c r="A1473" s="1" t="s">
        <v>1688</v>
      </c>
      <c r="B1473" s="2" t="str">
        <f>HYPERLINK("https://www.elsevier.com/locate/issn/2666-0849", "JACC: Case Reports")</f>
        <v>JACC: Case Reports</v>
      </c>
      <c r="C1473" s="1" t="s">
        <v>23</v>
      </c>
      <c r="D1473" s="1">
        <v>850</v>
      </c>
      <c r="E1473" s="1">
        <v>800</v>
      </c>
      <c r="F1473" s="1">
        <v>680</v>
      </c>
      <c r="G1473" s="1">
        <v>105430</v>
      </c>
    </row>
    <row r="1474" spans="1:7" x14ac:dyDescent="0.25">
      <c r="A1474" s="1" t="s">
        <v>1689</v>
      </c>
      <c r="B1474" s="2" t="str">
        <f>HYPERLINK("https://www.elsevier.com/locate/issn/2405-500X", "JACC: Clinical Electrophysiology")</f>
        <v>JACC: Clinical Electrophysiology</v>
      </c>
      <c r="C1474" s="1" t="s">
        <v>10</v>
      </c>
      <c r="D1474" s="1">
        <v>5000</v>
      </c>
      <c r="E1474" s="1">
        <v>4680</v>
      </c>
      <c r="F1474" s="1">
        <v>4000</v>
      </c>
      <c r="G1474" s="1">
        <v>620150</v>
      </c>
    </row>
    <row r="1475" spans="1:7" x14ac:dyDescent="0.25">
      <c r="A1475" s="1" t="s">
        <v>1690</v>
      </c>
      <c r="B1475" s="2" t="str">
        <f>HYPERLINK("https://www.elsevier.com/locate/issn/2213-1779", "JACC: Heart Failure")</f>
        <v>JACC: Heart Failure</v>
      </c>
      <c r="C1475" s="1" t="s">
        <v>10</v>
      </c>
      <c r="D1475" s="1">
        <v>5000</v>
      </c>
      <c r="E1475" s="1">
        <v>4680</v>
      </c>
      <c r="F1475" s="1">
        <v>4000</v>
      </c>
      <c r="G1475" s="1">
        <v>620150</v>
      </c>
    </row>
    <row r="1476" spans="1:7" x14ac:dyDescent="0.25">
      <c r="A1476" s="1" t="s">
        <v>1691</v>
      </c>
      <c r="B1476" s="2" t="str">
        <f>HYPERLINK("https://www.elsevier.com/locate/issn/2688-1152", "JACEP Open")</f>
        <v>JACEP Open</v>
      </c>
      <c r="C1476" s="1" t="s">
        <v>23</v>
      </c>
      <c r="D1476" s="1">
        <v>2600</v>
      </c>
      <c r="E1476" s="1">
        <v>2430</v>
      </c>
      <c r="F1476" s="1">
        <v>2080</v>
      </c>
      <c r="G1476" s="1">
        <v>322480</v>
      </c>
    </row>
    <row r="1477" spans="1:7" x14ac:dyDescent="0.25">
      <c r="A1477" s="1" t="s">
        <v>1692</v>
      </c>
      <c r="B1477" s="2" t="str">
        <f>HYPERLINK("https://www.elsevier.com/locate/issn/2772-414X", "JADA Foundational Science")</f>
        <v>JADA Foundational Science</v>
      </c>
      <c r="C1477" s="1" t="s">
        <v>23</v>
      </c>
      <c r="D1477" s="1">
        <v>2500</v>
      </c>
      <c r="E1477" s="1">
        <v>2340</v>
      </c>
      <c r="F1477" s="1">
        <v>2000</v>
      </c>
      <c r="G1477" s="1">
        <v>310080</v>
      </c>
    </row>
    <row r="1478" spans="1:7" x14ac:dyDescent="0.25">
      <c r="A1478" s="1" t="s">
        <v>1693</v>
      </c>
      <c r="B1478" s="2" t="str">
        <f>HYPERLINK("https://www.elsevier.com/locate/issn/3050-7189", "JAND Global Reports")</f>
        <v>JAND Global Reports</v>
      </c>
      <c r="C1478" s="1" t="s">
        <v>23</v>
      </c>
      <c r="D1478" s="1">
        <v>2500</v>
      </c>
      <c r="E1478" s="1">
        <v>2340</v>
      </c>
      <c r="F1478" s="1">
        <v>2000</v>
      </c>
      <c r="G1478" s="1">
        <v>310080</v>
      </c>
    </row>
    <row r="1479" spans="1:7" x14ac:dyDescent="0.25">
      <c r="A1479" s="1" t="s">
        <v>1694</v>
      </c>
      <c r="B1479" s="2" t="str">
        <f>HYPERLINK("https://www.elsevier.com/locate/issn/0922-1425", "Japan and the World Economy")</f>
        <v>Japan and the World Economy</v>
      </c>
      <c r="C1479" s="1" t="s">
        <v>10</v>
      </c>
      <c r="D1479" s="1">
        <v>3070</v>
      </c>
      <c r="E1479" s="1">
        <v>2870</v>
      </c>
      <c r="F1479" s="1">
        <v>2460</v>
      </c>
      <c r="G1479" s="1">
        <v>380770</v>
      </c>
    </row>
    <row r="1480" spans="1:7" x14ac:dyDescent="0.25">
      <c r="A1480" s="1" t="s">
        <v>1695</v>
      </c>
      <c r="B1480" s="2" t="str">
        <f>HYPERLINK("https://www.elsevier.com/locate/issn/1882-7616", "Japanese Dental Science Review")</f>
        <v>Japanese Dental Science Review</v>
      </c>
      <c r="C1480" s="1" t="s">
        <v>23</v>
      </c>
      <c r="D1480" s="1">
        <v>2160</v>
      </c>
      <c r="E1480" s="1">
        <v>2020</v>
      </c>
      <c r="F1480" s="1">
        <v>1730</v>
      </c>
      <c r="G1480" s="1">
        <v>261380</v>
      </c>
    </row>
    <row r="1481" spans="1:7" x14ac:dyDescent="0.25">
      <c r="A1481" s="1" t="s">
        <v>1696</v>
      </c>
      <c r="B1481" s="2" t="str">
        <f>HYPERLINK("https://www.elsevier.com/locate/issn/2949-9623", "JAPhA Pharmacotherapy")</f>
        <v>JAPhA Pharmacotherapy</v>
      </c>
      <c r="C1481" s="1" t="s">
        <v>23</v>
      </c>
      <c r="D1481" s="1">
        <v>1900</v>
      </c>
      <c r="E1481" s="1">
        <v>1780</v>
      </c>
      <c r="F1481" s="1">
        <v>1520</v>
      </c>
      <c r="G1481" s="1">
        <v>235660</v>
      </c>
    </row>
    <row r="1482" spans="1:7" x14ac:dyDescent="0.25">
      <c r="A1482" s="1" t="s">
        <v>1697</v>
      </c>
      <c r="B1482" s="2" t="str">
        <f>HYPERLINK("https://www.elsevier.com/locate/issn/2949-9690", "JAPhA Practice Innovations")</f>
        <v>JAPhA Practice Innovations</v>
      </c>
      <c r="C1482" s="1" t="s">
        <v>23</v>
      </c>
      <c r="D1482" s="1">
        <v>850</v>
      </c>
      <c r="E1482" s="1">
        <v>800</v>
      </c>
      <c r="F1482" s="1">
        <v>680</v>
      </c>
      <c r="G1482" s="1">
        <v>105430</v>
      </c>
    </row>
    <row r="1483" spans="1:7" x14ac:dyDescent="0.25">
      <c r="A1483" s="1" t="s">
        <v>1698</v>
      </c>
      <c r="B1483" s="2" t="str">
        <f>HYPERLINK("https://www.elsevier.com/locate/issn/2950-5534", "JCA Advances")</f>
        <v>JCA Advances</v>
      </c>
      <c r="C1483" s="1" t="s">
        <v>23</v>
      </c>
      <c r="D1483" s="1">
        <v>2200</v>
      </c>
      <c r="E1483" s="1">
        <v>2060</v>
      </c>
      <c r="F1483" s="1">
        <v>1760</v>
      </c>
      <c r="G1483" s="1">
        <v>272870</v>
      </c>
    </row>
    <row r="1484" spans="1:7" x14ac:dyDescent="0.25">
      <c r="A1484" s="1" t="s">
        <v>1699</v>
      </c>
      <c r="B1484" s="2" t="str">
        <f>HYPERLINK("https://www.elsevier.com/locate/issn/2666-934X", "JCIS Open")</f>
        <v>JCIS Open</v>
      </c>
      <c r="C1484" s="1" t="s">
        <v>23</v>
      </c>
      <c r="D1484" s="1">
        <v>1590</v>
      </c>
      <c r="E1484" s="1">
        <v>1490</v>
      </c>
      <c r="F1484" s="1">
        <v>1270</v>
      </c>
      <c r="G1484" s="1">
        <v>197210</v>
      </c>
    </row>
    <row r="1485" spans="1:7" x14ac:dyDescent="0.25">
      <c r="A1485" s="1" t="s">
        <v>1700</v>
      </c>
      <c r="B1485" s="2" t="str">
        <f>HYPERLINK("https://www.elsevier.com/locate/issn/2666-9102", "JDS Communications")</f>
        <v>JDS Communications</v>
      </c>
      <c r="C1485" s="1" t="s">
        <v>23</v>
      </c>
      <c r="D1485" s="1">
        <v>1310</v>
      </c>
      <c r="E1485" s="1">
        <v>1230</v>
      </c>
      <c r="F1485" s="1">
        <v>1050</v>
      </c>
      <c r="G1485" s="1">
        <v>162480</v>
      </c>
    </row>
    <row r="1486" spans="1:7" x14ac:dyDescent="0.25">
      <c r="A1486" s="1" t="s">
        <v>1701</v>
      </c>
      <c r="B1486" s="2" t="str">
        <f>HYPERLINK("https://www.elsevier.com/locate/issn/2773-2320", "JEM Reports")</f>
        <v>JEM Reports</v>
      </c>
      <c r="C1486" s="1" t="s">
        <v>23</v>
      </c>
      <c r="D1486" s="1">
        <v>720</v>
      </c>
      <c r="E1486" s="1">
        <v>670</v>
      </c>
      <c r="F1486" s="1">
        <v>580</v>
      </c>
      <c r="G1486" s="1">
        <v>89300</v>
      </c>
    </row>
    <row r="1487" spans="1:7" x14ac:dyDescent="0.25">
      <c r="A1487" s="1" t="s">
        <v>1702</v>
      </c>
      <c r="B1487" s="2" t="str">
        <f>HYPERLINK("https://www.elsevier.com/locate/issn/2949-8899", "JFO Open Ophthalmology")</f>
        <v>JFO Open Ophthalmology</v>
      </c>
      <c r="C1487" s="1" t="s">
        <v>23</v>
      </c>
      <c r="D1487" s="1">
        <v>1680</v>
      </c>
      <c r="E1487" s="1">
        <v>1570</v>
      </c>
      <c r="F1487" s="1">
        <v>1340</v>
      </c>
      <c r="G1487" s="1">
        <v>208370</v>
      </c>
    </row>
    <row r="1488" spans="1:7" x14ac:dyDescent="0.25">
      <c r="A1488" s="1" t="s">
        <v>1703</v>
      </c>
      <c r="B1488" s="2" t="str">
        <f>HYPERLINK("https://www.elsevier.com/locate/issn/2589-5559", "JHEP Reports")</f>
        <v>JHEP Reports</v>
      </c>
      <c r="C1488" s="1" t="s">
        <v>23</v>
      </c>
      <c r="D1488" s="1">
        <v>4110</v>
      </c>
      <c r="E1488" s="1">
        <v>3840</v>
      </c>
      <c r="F1488" s="1">
        <v>3290</v>
      </c>
      <c r="G1488" s="1">
        <v>509760</v>
      </c>
    </row>
    <row r="1489" spans="1:7" x14ac:dyDescent="0.25">
      <c r="A1489" s="1" t="s">
        <v>1704</v>
      </c>
      <c r="B1489" s="2" t="str">
        <f>HYPERLINK("https://www.elsevier.com/locate/issn/2950-1334", "JHLT Open")</f>
        <v>JHLT Open</v>
      </c>
      <c r="C1489" s="1" t="s">
        <v>23</v>
      </c>
      <c r="D1489" s="1">
        <v>2500</v>
      </c>
      <c r="E1489" s="1">
        <v>2340</v>
      </c>
      <c r="F1489" s="1">
        <v>2000</v>
      </c>
      <c r="G1489" s="1">
        <v>310080</v>
      </c>
    </row>
    <row r="1490" spans="1:7" x14ac:dyDescent="0.25">
      <c r="A1490" s="1" t="s">
        <v>1705</v>
      </c>
      <c r="B1490" s="2" t="str">
        <f>HYPERLINK("https://www.elsevier.com/locate/issn/2667-0267", "JID Innovations")</f>
        <v>JID Innovations</v>
      </c>
      <c r="C1490" s="1" t="s">
        <v>23</v>
      </c>
      <c r="D1490" s="1">
        <v>2000</v>
      </c>
      <c r="E1490" s="1">
        <v>1870</v>
      </c>
      <c r="F1490" s="1">
        <v>1600</v>
      </c>
      <c r="G1490" s="1">
        <v>248060</v>
      </c>
    </row>
    <row r="1491" spans="1:7" x14ac:dyDescent="0.25">
      <c r="A1491" s="1" t="s">
        <v>1706</v>
      </c>
      <c r="B1491" s="2" t="str">
        <f>HYPERLINK("https://www.elsevier.com/locate/issn/1297-319X", "Joint Bone Spine")</f>
        <v>Joint Bone Spine</v>
      </c>
      <c r="C1491" s="1" t="s">
        <v>10</v>
      </c>
      <c r="D1491" s="1">
        <v>3020</v>
      </c>
      <c r="E1491" s="1">
        <v>2750</v>
      </c>
      <c r="F1491" s="1">
        <v>2410</v>
      </c>
      <c r="G1491" s="1">
        <v>374570</v>
      </c>
    </row>
    <row r="1492" spans="1:7" x14ac:dyDescent="0.25">
      <c r="A1492" s="1" t="s">
        <v>1707</v>
      </c>
      <c r="B1492" s="2" t="str">
        <f>HYPERLINK("https://www.elsevier.com/locate/issn/0021-7557", "Jornal de Pediatria")</f>
        <v>Jornal de Pediatria</v>
      </c>
      <c r="C1492" s="1" t="s">
        <v>34</v>
      </c>
      <c r="D1492" s="1">
        <v>1800</v>
      </c>
      <c r="E1492" s="1">
        <v>1680</v>
      </c>
      <c r="F1492" s="1">
        <v>1440</v>
      </c>
      <c r="G1492" s="1">
        <v>223250</v>
      </c>
    </row>
    <row r="1493" spans="1:7" x14ac:dyDescent="0.25">
      <c r="A1493" s="1" t="s">
        <v>1708</v>
      </c>
      <c r="B1493" s="2" t="str">
        <f>HYPERLINK("https://www.elsevier.com/locate/issn/2772-9648", "JOS Case Reports")</f>
        <v>JOS Case Reports</v>
      </c>
      <c r="C1493" s="1" t="s">
        <v>23</v>
      </c>
      <c r="D1493" s="1">
        <v>800</v>
      </c>
      <c r="E1493" s="1">
        <v>750</v>
      </c>
      <c r="F1493" s="1">
        <v>640</v>
      </c>
      <c r="G1493" s="1">
        <v>99220</v>
      </c>
    </row>
    <row r="1494" spans="1:7" x14ac:dyDescent="0.25">
      <c r="A1494" s="1" t="s">
        <v>1709</v>
      </c>
      <c r="B1494" s="2" t="str">
        <f>HYPERLINK("https://www.elsevier.com/locate/issn/2542-4351", "Joule")</f>
        <v>Joule</v>
      </c>
      <c r="C1494" s="1" t="s">
        <v>10</v>
      </c>
      <c r="D1494" s="1">
        <v>9350</v>
      </c>
      <c r="E1494" s="1">
        <v>8660</v>
      </c>
      <c r="F1494" s="1">
        <v>7490</v>
      </c>
      <c r="G1494" s="1">
        <v>1159680</v>
      </c>
    </row>
    <row r="1495" spans="1:7" x14ac:dyDescent="0.25">
      <c r="A1495" s="1" t="s">
        <v>1710</v>
      </c>
      <c r="B1495" s="2" t="str">
        <f>HYPERLINK("https://www.elsevier.com/locate/issn/2543-3431", "Journal d'imagerie diagnostique et interventionnelle")</f>
        <v>Journal d'imagerie diagnostique et interventionnelle</v>
      </c>
      <c r="C1495" s="1" t="s">
        <v>10</v>
      </c>
      <c r="D1495" s="1">
        <v>2000</v>
      </c>
      <c r="E1495" s="1">
        <v>1870</v>
      </c>
      <c r="F1495" s="1">
        <v>1600</v>
      </c>
      <c r="G1495" s="1">
        <v>248060</v>
      </c>
    </row>
    <row r="1496" spans="1:7" x14ac:dyDescent="0.25">
      <c r="A1496" s="1" t="s">
        <v>1711</v>
      </c>
      <c r="B1496" s="2" t="str">
        <f>HYPERLINK("https://www.elsevier.com/locate/issn/1878-786X", "Journal de Chirurgie Viscérale")</f>
        <v>Journal de Chirurgie Viscérale</v>
      </c>
      <c r="C1496" s="1" t="s">
        <v>10</v>
      </c>
      <c r="D1496" s="1">
        <v>2370</v>
      </c>
      <c r="E1496" s="1">
        <v>2160</v>
      </c>
      <c r="F1496" s="1">
        <v>1900</v>
      </c>
      <c r="G1496" s="1">
        <v>293950</v>
      </c>
    </row>
    <row r="1497" spans="1:7" x14ac:dyDescent="0.25">
      <c r="A1497" s="1" t="s">
        <v>1712</v>
      </c>
      <c r="B1497" s="2" t="str">
        <f>HYPERLINK("https://www.elsevier.com/locate/issn/0021-7824", "Journal de Mathématiques Pures et Appliquées")</f>
        <v>Journal de Mathématiques Pures et Appliquées</v>
      </c>
      <c r="C1497" s="1" t="s">
        <v>10</v>
      </c>
      <c r="D1497" s="1">
        <v>2900</v>
      </c>
      <c r="E1497" s="1">
        <v>2710</v>
      </c>
      <c r="F1497" s="1">
        <v>2320</v>
      </c>
      <c r="G1497" s="1">
        <v>359690</v>
      </c>
    </row>
    <row r="1498" spans="1:7" x14ac:dyDescent="0.25">
      <c r="A1498" s="1" t="s">
        <v>1713</v>
      </c>
      <c r="B1498" s="2" t="str">
        <f>HYPERLINK("https://www.elsevier.com/locate/issn/0987-7983", "Journal de Pédiatrie et de Puériculture")</f>
        <v>Journal de Pédiatrie et de Puériculture</v>
      </c>
      <c r="C1498" s="1" t="s">
        <v>10</v>
      </c>
      <c r="D1498" s="1">
        <v>2100</v>
      </c>
      <c r="E1498" s="1">
        <v>1920</v>
      </c>
      <c r="F1498" s="1">
        <v>1680</v>
      </c>
      <c r="G1498" s="1">
        <v>260460</v>
      </c>
    </row>
    <row r="1499" spans="1:7" x14ac:dyDescent="0.25">
      <c r="A1499" s="1" t="s">
        <v>1714</v>
      </c>
      <c r="B1499" s="2" t="str">
        <f>HYPERLINK("https://www.elsevier.com/locate/issn/0762-915X", "Journal de Traumatologie du Sport")</f>
        <v>Journal de Traumatologie du Sport</v>
      </c>
      <c r="C1499" s="1" t="s">
        <v>10</v>
      </c>
      <c r="D1499" s="1">
        <v>2310</v>
      </c>
      <c r="E1499" s="1">
        <v>2110</v>
      </c>
      <c r="F1499" s="1">
        <v>1850</v>
      </c>
      <c r="G1499" s="1">
        <v>286510</v>
      </c>
    </row>
    <row r="1500" spans="1:7" x14ac:dyDescent="0.25">
      <c r="A1500" s="1" t="s">
        <v>1715</v>
      </c>
      <c r="B1500" s="2" t="str">
        <f>HYPERLINK("https://www.elsevier.com/locate/issn/2211-4238", "Journal Européen des Urgences et de Réanimation")</f>
        <v>Journal Européen des Urgences et de Réanimation</v>
      </c>
      <c r="C1500" s="1" t="s">
        <v>10</v>
      </c>
      <c r="D1500" s="1">
        <v>2190</v>
      </c>
      <c r="E1500" s="1">
        <v>2000</v>
      </c>
      <c r="F1500" s="1">
        <v>1750</v>
      </c>
      <c r="G1500" s="1">
        <v>271630</v>
      </c>
    </row>
    <row r="1501" spans="1:7" x14ac:dyDescent="0.25">
      <c r="A1501" s="1" t="s">
        <v>1716</v>
      </c>
      <c r="B1501" s="2" t="str">
        <f>HYPERLINK("https://www.elsevier.com/locate/issn/1617-1381", "Journal for Nature Conservation")</f>
        <v>Journal for Nature Conservation</v>
      </c>
      <c r="C1501" s="1" t="s">
        <v>10</v>
      </c>
      <c r="D1501" s="1">
        <v>2890</v>
      </c>
      <c r="E1501" s="1">
        <v>2700</v>
      </c>
      <c r="F1501" s="1">
        <v>2310</v>
      </c>
      <c r="G1501" s="1">
        <v>358450</v>
      </c>
    </row>
    <row r="1502" spans="1:7" x14ac:dyDescent="0.25">
      <c r="A1502" s="1" t="s">
        <v>1717</v>
      </c>
      <c r="B1502" s="2" t="str">
        <f>HYPERLINK("https://www.elsevier.com/locate/issn/0181-5512", "Journal Français d'Ophtalmologie")</f>
        <v>Journal Français d'Ophtalmologie</v>
      </c>
      <c r="C1502" s="1" t="s">
        <v>10</v>
      </c>
      <c r="D1502" s="1">
        <v>3100</v>
      </c>
      <c r="E1502" s="1">
        <v>2830</v>
      </c>
      <c r="F1502" s="1">
        <v>2480</v>
      </c>
      <c r="G1502" s="1">
        <v>384490</v>
      </c>
    </row>
    <row r="1503" spans="1:7" ht="30" x14ac:dyDescent="0.25">
      <c r="A1503" s="1" t="s">
        <v>1718</v>
      </c>
      <c r="B1503" s="2" t="str">
        <f>HYPERLINK("https://www.elsevier.com/locate/issn/1091-8531", "Journal of American Association for Pediatric Ophthalmology and Strabismus")</f>
        <v>Journal of American Association for Pediatric Ophthalmology and Strabismus</v>
      </c>
      <c r="C1503" s="1" t="s">
        <v>10</v>
      </c>
      <c r="D1503" s="1">
        <v>3330</v>
      </c>
      <c r="E1503" s="1">
        <v>3120</v>
      </c>
      <c r="F1503" s="1">
        <v>2670</v>
      </c>
      <c r="G1503" s="1">
        <v>413020</v>
      </c>
    </row>
    <row r="1504" spans="1:7" x14ac:dyDescent="0.25">
      <c r="A1504" s="1" t="s">
        <v>1719</v>
      </c>
      <c r="B1504" s="2" t="str">
        <f>HYPERLINK("https://www.elsevier.com/locate/issn/0165-4101", "Journal of Accounting and Economics")</f>
        <v>Journal of Accounting and Economics</v>
      </c>
      <c r="C1504" s="1" t="s">
        <v>10</v>
      </c>
      <c r="D1504" s="1">
        <v>4170</v>
      </c>
      <c r="E1504" s="1">
        <v>3900</v>
      </c>
      <c r="F1504" s="1">
        <v>3340</v>
      </c>
      <c r="G1504" s="1">
        <v>517210</v>
      </c>
    </row>
    <row r="1505" spans="1:7" x14ac:dyDescent="0.25">
      <c r="A1505" s="1" t="s">
        <v>1720</v>
      </c>
      <c r="B1505" s="2" t="str">
        <f>HYPERLINK("https://www.elsevier.com/locate/issn/0278-4254", "Journal of Accounting and Public Policy")</f>
        <v>Journal of Accounting and Public Policy</v>
      </c>
      <c r="C1505" s="1" t="s">
        <v>10</v>
      </c>
      <c r="D1505" s="1">
        <v>3380</v>
      </c>
      <c r="E1505" s="1">
        <v>3160</v>
      </c>
      <c r="F1505" s="1">
        <v>2710</v>
      </c>
      <c r="G1505" s="1">
        <v>419220</v>
      </c>
    </row>
    <row r="1506" spans="1:7" x14ac:dyDescent="0.25">
      <c r="A1506" s="1" t="s">
        <v>1721</v>
      </c>
      <c r="B1506" s="2" t="str">
        <f>HYPERLINK("https://www.elsevier.com/locate/issn/0748-5751", "Journal of Accounting Education")</f>
        <v>Journal of Accounting Education</v>
      </c>
      <c r="C1506" s="1" t="s">
        <v>10</v>
      </c>
      <c r="D1506" s="1">
        <v>3910</v>
      </c>
      <c r="E1506" s="1">
        <v>3660</v>
      </c>
      <c r="F1506" s="1">
        <v>3130</v>
      </c>
      <c r="G1506" s="1">
        <v>484960</v>
      </c>
    </row>
    <row r="1507" spans="1:7" x14ac:dyDescent="0.25">
      <c r="A1507" s="1" t="s">
        <v>1722</v>
      </c>
      <c r="B1507" s="2" t="str">
        <f>HYPERLINK("https://www.elsevier.com/locate/issn/1054-139X", "Journal of Adolescent Health")</f>
        <v>Journal of Adolescent Health</v>
      </c>
      <c r="C1507" s="1" t="s">
        <v>10</v>
      </c>
      <c r="D1507" s="1">
        <v>3870</v>
      </c>
      <c r="E1507" s="1">
        <v>3620</v>
      </c>
      <c r="F1507" s="1">
        <v>3100</v>
      </c>
      <c r="G1507" s="1">
        <v>480000</v>
      </c>
    </row>
    <row r="1508" spans="1:7" x14ac:dyDescent="0.25">
      <c r="A1508" s="1" t="s">
        <v>1723</v>
      </c>
      <c r="B1508" s="2" t="str">
        <f>HYPERLINK("https://www.elsevier.com/locate/issn/2666-3309", "Journal of Advanced Joining Processes")</f>
        <v>Journal of Advanced Joining Processes</v>
      </c>
      <c r="C1508" s="1" t="s">
        <v>23</v>
      </c>
      <c r="D1508" s="1">
        <v>2410</v>
      </c>
      <c r="E1508" s="1">
        <v>2250</v>
      </c>
      <c r="F1508" s="1">
        <v>1930</v>
      </c>
      <c r="G1508" s="1">
        <v>298910</v>
      </c>
    </row>
    <row r="1509" spans="1:7" x14ac:dyDescent="0.25">
      <c r="A1509" s="1" t="s">
        <v>1724</v>
      </c>
      <c r="B1509" s="2" t="str">
        <f>HYPERLINK("https://www.elsevier.com/locate/issn/2090-1232", "Journal of Advanced Research")</f>
        <v>Journal of Advanced Research</v>
      </c>
      <c r="C1509" s="1" t="s">
        <v>23</v>
      </c>
      <c r="D1509" s="1">
        <v>4400</v>
      </c>
      <c r="E1509" s="1">
        <v>4120</v>
      </c>
      <c r="F1509" s="1">
        <v>3520</v>
      </c>
      <c r="G1509" s="1">
        <v>545730</v>
      </c>
    </row>
    <row r="1510" spans="1:7" x14ac:dyDescent="0.25">
      <c r="A1510" s="1" t="s">
        <v>1725</v>
      </c>
      <c r="B1510" s="2" t="str">
        <f>HYPERLINK("https://www.elsevier.com/locate/issn/0021-8502", "Journal of Aerosol Science")</f>
        <v>Journal of Aerosol Science</v>
      </c>
      <c r="C1510" s="1" t="s">
        <v>10</v>
      </c>
      <c r="D1510" s="1">
        <v>2850</v>
      </c>
      <c r="E1510" s="1">
        <v>2670</v>
      </c>
      <c r="F1510" s="1">
        <v>2280</v>
      </c>
      <c r="G1510" s="1">
        <v>353490</v>
      </c>
    </row>
    <row r="1511" spans="1:7" x14ac:dyDescent="0.25">
      <c r="A1511" s="1" t="s">
        <v>1726</v>
      </c>
      <c r="B1511" s="2" t="str">
        <f>HYPERLINK("https://www.elsevier.com/locate/issn/0165-0327", "Journal of Affective Disorders")</f>
        <v>Journal of Affective Disorders</v>
      </c>
      <c r="C1511" s="1" t="s">
        <v>10</v>
      </c>
      <c r="D1511" s="1">
        <v>3790</v>
      </c>
      <c r="E1511" s="1">
        <v>3550</v>
      </c>
      <c r="F1511" s="1">
        <v>3030</v>
      </c>
      <c r="G1511" s="1">
        <v>470070</v>
      </c>
    </row>
    <row r="1512" spans="1:7" x14ac:dyDescent="0.25">
      <c r="A1512" s="1" t="s">
        <v>1727</v>
      </c>
      <c r="B1512" s="2" t="str">
        <f>HYPERLINK("https://www.elsevier.com/locate/issn/2666-9153", "Journal of Affective Disorders Reports")</f>
        <v>Journal of Affective Disorders Reports</v>
      </c>
      <c r="C1512" s="1" t="s">
        <v>23</v>
      </c>
      <c r="D1512" s="1">
        <v>2630</v>
      </c>
      <c r="E1512" s="1">
        <v>2460</v>
      </c>
      <c r="F1512" s="1">
        <v>2110</v>
      </c>
      <c r="G1512" s="1">
        <v>326200</v>
      </c>
    </row>
    <row r="1513" spans="1:7" x14ac:dyDescent="0.25">
      <c r="A1513" s="1" t="s">
        <v>1728</v>
      </c>
      <c r="B1513" s="2" t="str">
        <f>HYPERLINK("https://www.elsevier.com/locate/issn/1464-343X", "Journal of African Earth Sciences")</f>
        <v>Journal of African Earth Sciences</v>
      </c>
      <c r="C1513" s="1" t="s">
        <v>10</v>
      </c>
      <c r="D1513" s="1">
        <v>3370</v>
      </c>
      <c r="E1513" s="1">
        <v>3150</v>
      </c>
      <c r="F1513" s="1">
        <v>2700</v>
      </c>
      <c r="G1513" s="1">
        <v>417980</v>
      </c>
    </row>
    <row r="1514" spans="1:7" x14ac:dyDescent="0.25">
      <c r="A1514" s="1" t="s">
        <v>1729</v>
      </c>
      <c r="B1514" s="2" t="str">
        <f>HYPERLINK("https://www.elsevier.com/locate/issn/0890-4065", "Journal of Aging Studies")</f>
        <v>Journal of Aging Studies</v>
      </c>
      <c r="C1514" s="1" t="s">
        <v>10</v>
      </c>
      <c r="D1514" s="1">
        <v>3340</v>
      </c>
      <c r="E1514" s="1">
        <v>3120</v>
      </c>
      <c r="F1514" s="1">
        <v>2670</v>
      </c>
      <c r="G1514" s="1">
        <v>414260</v>
      </c>
    </row>
    <row r="1515" spans="1:7" x14ac:dyDescent="0.25">
      <c r="A1515" s="1" t="s">
        <v>1730</v>
      </c>
      <c r="B1515" s="2" t="str">
        <f>HYPERLINK("https://www.elsevier.com/locate/issn/2666-1543", "Journal of Agriculture and Food Research")</f>
        <v>Journal of Agriculture and Food Research</v>
      </c>
      <c r="C1515" s="1" t="s">
        <v>23</v>
      </c>
      <c r="D1515" s="1">
        <v>2360</v>
      </c>
      <c r="E1515" s="1">
        <v>2210</v>
      </c>
      <c r="F1515" s="1">
        <v>1890</v>
      </c>
      <c r="G1515" s="1">
        <v>292710</v>
      </c>
    </row>
    <row r="1516" spans="1:7" x14ac:dyDescent="0.25">
      <c r="A1516" s="1" t="s">
        <v>1731</v>
      </c>
      <c r="B1516" s="2" t="str">
        <f>HYPERLINK("https://www.elsevier.com/locate/issn/0969-6997", "Journal of Air Transport Management")</f>
        <v>Journal of Air Transport Management</v>
      </c>
      <c r="C1516" s="1" t="s">
        <v>10</v>
      </c>
      <c r="D1516" s="1">
        <v>3250</v>
      </c>
      <c r="E1516" s="1">
        <v>3040</v>
      </c>
      <c r="F1516" s="1">
        <v>2600</v>
      </c>
      <c r="G1516" s="1">
        <v>403100</v>
      </c>
    </row>
    <row r="1517" spans="1:7" x14ac:dyDescent="0.25">
      <c r="A1517" s="1" t="s">
        <v>1732</v>
      </c>
      <c r="B1517" s="2" t="str">
        <f>HYPERLINK("https://www.elsevier.com/locate/issn/0021-8693", "Journal of Algebra")</f>
        <v>Journal of Algebra</v>
      </c>
      <c r="C1517" s="1" t="s">
        <v>10</v>
      </c>
      <c r="D1517" s="1">
        <v>3310</v>
      </c>
      <c r="E1517" s="1">
        <v>3100</v>
      </c>
      <c r="F1517" s="1">
        <v>2650</v>
      </c>
      <c r="G1517" s="1">
        <v>410540</v>
      </c>
    </row>
    <row r="1518" spans="1:7" x14ac:dyDescent="0.25">
      <c r="A1518" s="1" t="s">
        <v>1733</v>
      </c>
      <c r="B1518" s="2" t="str">
        <f>HYPERLINK("https://www.elsevier.com/locate/issn/0091-6749", "Journal of Allergy and Clinical Immunology")</f>
        <v>Journal of Allergy and Clinical Immunology</v>
      </c>
      <c r="C1518" s="1" t="s">
        <v>10</v>
      </c>
      <c r="D1518" s="1">
        <v>4900</v>
      </c>
      <c r="E1518" s="1">
        <v>4580</v>
      </c>
      <c r="F1518" s="1">
        <v>3920</v>
      </c>
      <c r="G1518" s="1">
        <v>607750</v>
      </c>
    </row>
    <row r="1519" spans="1:7" x14ac:dyDescent="0.25">
      <c r="A1519" s="1" t="s">
        <v>1734</v>
      </c>
      <c r="B1519" s="2" t="str">
        <f>HYPERLINK("https://www.elsevier.com/locate/issn/2772-8293", "Journal of Allergy and Clinical Immunology: Global")</f>
        <v>Journal of Allergy and Clinical Immunology: Global</v>
      </c>
      <c r="C1519" s="1" t="s">
        <v>23</v>
      </c>
      <c r="D1519" s="1">
        <v>2000</v>
      </c>
      <c r="E1519" s="1">
        <v>1870</v>
      </c>
      <c r="F1519" s="1">
        <v>1600</v>
      </c>
      <c r="G1519" s="1">
        <v>248060</v>
      </c>
    </row>
    <row r="1520" spans="1:7" x14ac:dyDescent="0.25">
      <c r="A1520" s="1" t="s">
        <v>1735</v>
      </c>
      <c r="B1520" s="2" t="str">
        <f>HYPERLINK("https://www.elsevier.com/locate/issn/2950-3124", "Journal of Allergy and Hypersensitivity Diseases")</f>
        <v>Journal of Allergy and Hypersensitivity Diseases</v>
      </c>
      <c r="C1520" s="1" t="s">
        <v>23</v>
      </c>
      <c r="D1520" s="1">
        <v>2410</v>
      </c>
      <c r="E1520" s="1">
        <v>2200</v>
      </c>
      <c r="F1520" s="1">
        <v>1930</v>
      </c>
      <c r="G1520" s="1">
        <v>298910</v>
      </c>
    </row>
    <row r="1521" spans="1:7" x14ac:dyDescent="0.25">
      <c r="A1521" s="1" t="s">
        <v>1736</v>
      </c>
      <c r="B1521" s="2" t="str">
        <f>HYPERLINK("https://www.elsevier.com/locate/issn/0925-8388", "Journal of Alloys and Compounds")</f>
        <v>Journal of Alloys and Compounds</v>
      </c>
      <c r="C1521" s="1" t="s">
        <v>10</v>
      </c>
      <c r="D1521" s="1">
        <v>3660</v>
      </c>
      <c r="E1521" s="1">
        <v>3420</v>
      </c>
      <c r="F1521" s="1">
        <v>2930</v>
      </c>
      <c r="G1521" s="1">
        <v>453950</v>
      </c>
    </row>
    <row r="1522" spans="1:7" x14ac:dyDescent="0.25">
      <c r="A1522" s="1" t="s">
        <v>1737</v>
      </c>
      <c r="B1522" s="2" t="str">
        <f>HYPERLINK("https://www.elsevier.com/locate/issn/2950-2845", "Journal of Alloys and Compounds Communications")</f>
        <v>Journal of Alloys and Compounds Communications</v>
      </c>
      <c r="C1522" s="1" t="s">
        <v>10</v>
      </c>
      <c r="D1522" s="1">
        <v>2000</v>
      </c>
      <c r="E1522" s="1">
        <v>1870</v>
      </c>
      <c r="F1522" s="1">
        <v>1600</v>
      </c>
      <c r="G1522" s="1">
        <v>248060</v>
      </c>
    </row>
    <row r="1523" spans="1:7" x14ac:dyDescent="0.25">
      <c r="A1523" s="1" t="s">
        <v>1738</v>
      </c>
      <c r="B1523" s="2" t="str">
        <f>HYPERLINK("https://www.elsevier.com/locate/issn/2949-9178", "Journal of Alloys and Metallurgical Systems")</f>
        <v>Journal of Alloys and Metallurgical Systems</v>
      </c>
      <c r="C1523" s="1" t="s">
        <v>23</v>
      </c>
      <c r="D1523" s="1">
        <v>1540</v>
      </c>
      <c r="E1523" s="1">
        <v>1440</v>
      </c>
      <c r="F1523" s="1">
        <v>1230</v>
      </c>
      <c r="G1523" s="1">
        <v>191010</v>
      </c>
    </row>
    <row r="1524" spans="1:7" x14ac:dyDescent="0.25">
      <c r="A1524" s="1" t="s">
        <v>1739</v>
      </c>
      <c r="B1524" s="2" t="str">
        <f>HYPERLINK("https://www.elsevier.com/locate/issn/0165-2370", "Journal of Analytical and Applied Pyrolysis")</f>
        <v>Journal of Analytical and Applied Pyrolysis</v>
      </c>
      <c r="C1524" s="1" t="s">
        <v>10</v>
      </c>
      <c r="D1524" s="1">
        <v>3580</v>
      </c>
      <c r="E1524" s="1">
        <v>3350</v>
      </c>
      <c r="F1524" s="1">
        <v>2870</v>
      </c>
      <c r="G1524" s="1">
        <v>444030</v>
      </c>
    </row>
    <row r="1525" spans="1:7" x14ac:dyDescent="0.25">
      <c r="A1525" s="1" t="s">
        <v>1740</v>
      </c>
      <c r="B1525" s="2" t="str">
        <f>HYPERLINK("https://www.elsevier.com/locate/issn/2957-3912", "Journal of Anesthesia and Translational Medicine")</f>
        <v>Journal of Anesthesia and Translational Medicine</v>
      </c>
      <c r="C1525" s="1" t="s">
        <v>34</v>
      </c>
      <c r="D1525" s="1" t="s">
        <v>324</v>
      </c>
      <c r="E1525" s="1" t="s">
        <v>324</v>
      </c>
      <c r="F1525" s="1" t="s">
        <v>324</v>
      </c>
      <c r="G1525" s="1" t="s">
        <v>324</v>
      </c>
    </row>
    <row r="1526" spans="1:7" x14ac:dyDescent="0.25">
      <c r="A1526" s="1" t="s">
        <v>1741</v>
      </c>
      <c r="B1526" s="2" t="str">
        <f>HYPERLINK("https://www.elsevier.com/locate/issn/0278-4165", "Journal of Anthropological Archaeology")</f>
        <v>Journal of Anthropological Archaeology</v>
      </c>
      <c r="C1526" s="1" t="s">
        <v>10</v>
      </c>
      <c r="D1526" s="1">
        <v>3370</v>
      </c>
      <c r="E1526" s="1">
        <v>3150</v>
      </c>
      <c r="F1526" s="1">
        <v>2700</v>
      </c>
      <c r="G1526" s="1">
        <v>417980</v>
      </c>
    </row>
    <row r="1527" spans="1:7" x14ac:dyDescent="0.25">
      <c r="A1527" s="1" t="s">
        <v>1742</v>
      </c>
      <c r="B1527" s="2" t="str">
        <f>HYPERLINK("https://www.elsevier.com/locate/issn/0887-6185", "Journal of Anxiety Disorders")</f>
        <v>Journal of Anxiety Disorders</v>
      </c>
      <c r="C1527" s="1" t="s">
        <v>10</v>
      </c>
      <c r="D1527" s="1">
        <v>4650</v>
      </c>
      <c r="E1527" s="1">
        <v>4350</v>
      </c>
      <c r="F1527" s="1">
        <v>3720</v>
      </c>
      <c r="G1527" s="1">
        <v>576740</v>
      </c>
    </row>
    <row r="1528" spans="1:7" x14ac:dyDescent="0.25">
      <c r="A1528" s="1" t="s">
        <v>1743</v>
      </c>
      <c r="B1528" s="2" t="str">
        <f>HYPERLINK("https://www.elsevier.com/locate/issn/0193-3973", "Journal of Applied Developmental Psychology")</f>
        <v>Journal of Applied Developmental Psychology</v>
      </c>
      <c r="C1528" s="1" t="s">
        <v>10</v>
      </c>
      <c r="D1528" s="1">
        <v>3580</v>
      </c>
      <c r="E1528" s="1">
        <v>3350</v>
      </c>
      <c r="F1528" s="1">
        <v>2870</v>
      </c>
      <c r="G1528" s="1">
        <v>444030</v>
      </c>
    </row>
    <row r="1529" spans="1:7" x14ac:dyDescent="0.25">
      <c r="A1529" s="1" t="s">
        <v>1744</v>
      </c>
      <c r="B1529" s="2" t="str">
        <f>HYPERLINK("https://www.elsevier.com/locate/issn/0926-9851", "Journal of Applied Geophysics")</f>
        <v>Journal of Applied Geophysics</v>
      </c>
      <c r="C1529" s="1" t="s">
        <v>10</v>
      </c>
      <c r="D1529" s="1">
        <v>3180</v>
      </c>
      <c r="E1529" s="1">
        <v>2970</v>
      </c>
      <c r="F1529" s="1">
        <v>2550</v>
      </c>
      <c r="G1529" s="1">
        <v>394420</v>
      </c>
    </row>
    <row r="1530" spans="1:7" x14ac:dyDescent="0.25">
      <c r="A1530" s="1" t="s">
        <v>1745</v>
      </c>
      <c r="B1530" s="2" t="str">
        <f>HYPERLINK("https://www.elsevier.com/locate/issn/1056-6171", "Journal of Applied Poultry Research")</f>
        <v>Journal of Applied Poultry Research</v>
      </c>
      <c r="C1530" s="1" t="s">
        <v>23</v>
      </c>
      <c r="D1530" s="1">
        <v>2300</v>
      </c>
      <c r="E1530" s="1">
        <v>2150</v>
      </c>
      <c r="F1530" s="1">
        <v>1840</v>
      </c>
      <c r="G1530" s="1">
        <v>285270</v>
      </c>
    </row>
    <row r="1531" spans="1:7" x14ac:dyDescent="0.25">
      <c r="A1531" s="1" t="s">
        <v>1746</v>
      </c>
      <c r="B1531" s="2" t="str">
        <f>HYPERLINK("https://www.elsevier.com/locate/issn/2214-7861", "Journal of Applied Research on Medicinal and Aromatic Plants")</f>
        <v>Journal of Applied Research on Medicinal and Aromatic Plants</v>
      </c>
      <c r="C1531" s="1" t="s">
        <v>10</v>
      </c>
      <c r="D1531" s="1">
        <v>3150</v>
      </c>
      <c r="E1531" s="1">
        <v>2950</v>
      </c>
      <c r="F1531" s="1">
        <v>2520</v>
      </c>
      <c r="G1531" s="1">
        <v>390690</v>
      </c>
    </row>
    <row r="1532" spans="1:7" x14ac:dyDescent="0.25">
      <c r="A1532" s="1" t="s">
        <v>1747</v>
      </c>
      <c r="B1532" s="2" t="str">
        <f>HYPERLINK("https://www.elsevier.com/locate/issn/0021-9045", "Journal of Approximation Theory")</f>
        <v>Journal of Approximation Theory</v>
      </c>
      <c r="C1532" s="1" t="s">
        <v>10</v>
      </c>
      <c r="D1532" s="1">
        <v>2910</v>
      </c>
      <c r="E1532" s="1">
        <v>2720</v>
      </c>
      <c r="F1532" s="1">
        <v>2330</v>
      </c>
      <c r="G1532" s="1">
        <v>360930</v>
      </c>
    </row>
    <row r="1533" spans="1:7" x14ac:dyDescent="0.25">
      <c r="A1533" s="1" t="s">
        <v>1748</v>
      </c>
      <c r="B1533" s="2" t="str">
        <f>HYPERLINK("https://www.elsevier.com/locate/issn/3051-2301", "Journal of Aquatic Plants")</f>
        <v>Journal of Aquatic Plants</v>
      </c>
      <c r="C1533" s="1" t="s">
        <v>23</v>
      </c>
      <c r="D1533" s="1">
        <v>2500</v>
      </c>
      <c r="E1533" s="1">
        <v>2340</v>
      </c>
      <c r="F1533" s="1">
        <v>2000</v>
      </c>
      <c r="G1533" s="1">
        <v>310080</v>
      </c>
    </row>
    <row r="1534" spans="1:7" x14ac:dyDescent="0.25">
      <c r="A1534" s="1" t="s">
        <v>1749</v>
      </c>
      <c r="B1534" s="2" t="str">
        <f>HYPERLINK("https://www.elsevier.com/locate/issn/0305-4403", "Journal of Archaeological Science")</f>
        <v>Journal of Archaeological Science</v>
      </c>
      <c r="C1534" s="1" t="s">
        <v>10</v>
      </c>
      <c r="D1534" s="1">
        <v>4040</v>
      </c>
      <c r="E1534" s="1">
        <v>3780</v>
      </c>
      <c r="F1534" s="1">
        <v>3230</v>
      </c>
      <c r="G1534" s="1">
        <v>501080</v>
      </c>
    </row>
    <row r="1535" spans="1:7" x14ac:dyDescent="0.25">
      <c r="A1535" s="1" t="s">
        <v>1750</v>
      </c>
      <c r="B1535" s="2" t="str">
        <f>HYPERLINK("https://www.elsevier.com/locate/issn/2352-409X", "Journal of Archaeological Science: Reports")</f>
        <v>Journal of Archaeological Science: Reports</v>
      </c>
      <c r="C1535" s="1" t="s">
        <v>10</v>
      </c>
      <c r="D1535" s="1">
        <v>2910</v>
      </c>
      <c r="E1535" s="1">
        <v>2720</v>
      </c>
      <c r="F1535" s="1">
        <v>2330</v>
      </c>
      <c r="G1535" s="1">
        <v>360930</v>
      </c>
    </row>
    <row r="1536" spans="1:7" x14ac:dyDescent="0.25">
      <c r="A1536" s="1" t="s">
        <v>1751</v>
      </c>
      <c r="B1536" s="2" t="str">
        <f>HYPERLINK("https://www.elsevier.com/locate/issn/0140-1963", "Journal of Arid Environments")</f>
        <v>Journal of Arid Environments</v>
      </c>
      <c r="C1536" s="1" t="s">
        <v>10</v>
      </c>
      <c r="D1536" s="1">
        <v>3200</v>
      </c>
      <c r="E1536" s="1">
        <v>2990</v>
      </c>
      <c r="F1536" s="1">
        <v>2560</v>
      </c>
      <c r="G1536" s="1">
        <v>396900</v>
      </c>
    </row>
    <row r="1537" spans="1:7" x14ac:dyDescent="0.25">
      <c r="A1537" s="1" t="s">
        <v>1752</v>
      </c>
      <c r="B1537" s="2" t="str">
        <f>HYPERLINK("https://www.elsevier.com/locate/issn/0883-5403", "The Journal of Arthroplasty")</f>
        <v>The Journal of Arthroplasty</v>
      </c>
      <c r="C1537" s="1" t="s">
        <v>10</v>
      </c>
      <c r="D1537" s="1">
        <v>4650</v>
      </c>
      <c r="E1537" s="1">
        <v>4350</v>
      </c>
      <c r="F1537" s="1">
        <v>3720</v>
      </c>
      <c r="G1537" s="1">
        <v>576740</v>
      </c>
    </row>
    <row r="1538" spans="1:7" x14ac:dyDescent="0.25">
      <c r="A1538" s="1" t="s">
        <v>1753</v>
      </c>
      <c r="B1538" s="2" t="str">
        <f>HYPERLINK("https://www.elsevier.com/locate/issn/2287-884X", "Journal of Asia-Pacific Biodiversity")</f>
        <v>Journal of Asia-Pacific Biodiversity</v>
      </c>
      <c r="C1538" s="1" t="s">
        <v>34</v>
      </c>
      <c r="D1538" s="1" t="s">
        <v>324</v>
      </c>
      <c r="E1538" s="1" t="s">
        <v>324</v>
      </c>
      <c r="F1538" s="1" t="s">
        <v>324</v>
      </c>
      <c r="G1538" s="1" t="s">
        <v>324</v>
      </c>
    </row>
    <row r="1539" spans="1:7" x14ac:dyDescent="0.25">
      <c r="A1539" s="1" t="s">
        <v>1754</v>
      </c>
      <c r="B1539" s="2" t="str">
        <f>HYPERLINK("https://www.elsevier.com/locate/issn/1226-8615", "Journal of Asia-Pacific Entomology")</f>
        <v>Journal of Asia-Pacific Entomology</v>
      </c>
      <c r="C1539" s="1" t="s">
        <v>10</v>
      </c>
      <c r="D1539" s="1">
        <v>3000</v>
      </c>
      <c r="E1539" s="1">
        <v>2810</v>
      </c>
      <c r="F1539" s="1">
        <v>2400</v>
      </c>
      <c r="G1539" s="1">
        <v>372090</v>
      </c>
    </row>
    <row r="1540" spans="1:7" x14ac:dyDescent="0.25">
      <c r="A1540" s="1" t="s">
        <v>1755</v>
      </c>
      <c r="B1540" s="2" t="str">
        <f>HYPERLINK("https://www.elsevier.com/locate/issn/1367-9120", "Journal of Asian Earth Sciences")</f>
        <v>Journal of Asian Earth Sciences</v>
      </c>
      <c r="C1540" s="1" t="s">
        <v>10</v>
      </c>
      <c r="D1540" s="1">
        <v>3330</v>
      </c>
      <c r="E1540" s="1">
        <v>3120</v>
      </c>
      <c r="F1540" s="1">
        <v>2670</v>
      </c>
      <c r="G1540" s="1">
        <v>413020</v>
      </c>
    </row>
    <row r="1541" spans="1:7" x14ac:dyDescent="0.25">
      <c r="A1541" s="1" t="s">
        <v>1756</v>
      </c>
      <c r="B1541" s="2" t="str">
        <f>HYPERLINK("https://www.elsevier.com/locate/issn/2590-0560", "Journal of Asian Earth Sciences: X")</f>
        <v>Journal of Asian Earth Sciences: X</v>
      </c>
      <c r="C1541" s="1" t="s">
        <v>23</v>
      </c>
      <c r="D1541" s="1">
        <v>2460</v>
      </c>
      <c r="E1541" s="1">
        <v>2300</v>
      </c>
      <c r="F1541" s="1">
        <v>1970</v>
      </c>
      <c r="G1541" s="1">
        <v>305110</v>
      </c>
    </row>
    <row r="1542" spans="1:7" x14ac:dyDescent="0.25">
      <c r="A1542" s="1" t="s">
        <v>1757</v>
      </c>
      <c r="B1542" s="2" t="str">
        <f>HYPERLINK("https://www.elsevier.com/locate/issn/1049-0078", "Journal of Asian Economics")</f>
        <v>Journal of Asian Economics</v>
      </c>
      <c r="C1542" s="1" t="s">
        <v>10</v>
      </c>
      <c r="D1542" s="1">
        <v>3190</v>
      </c>
      <c r="E1542" s="1">
        <v>2980</v>
      </c>
      <c r="F1542" s="1">
        <v>2550</v>
      </c>
      <c r="G1542" s="1">
        <v>395660</v>
      </c>
    </row>
    <row r="1543" spans="1:7" x14ac:dyDescent="0.25">
      <c r="A1543" s="1" t="s">
        <v>1758</v>
      </c>
      <c r="B1543" s="2" t="str">
        <f>HYPERLINK("https://www.elsevier.com/locate/issn/1364-6826", "Journal of Atmospheric and Solar-Terrestrial Physics")</f>
        <v>Journal of Atmospheric and Solar-Terrestrial Physics</v>
      </c>
      <c r="C1543" s="1" t="s">
        <v>10</v>
      </c>
      <c r="D1543" s="1">
        <v>2770</v>
      </c>
      <c r="E1543" s="1">
        <v>2590</v>
      </c>
      <c r="F1543" s="1">
        <v>2220</v>
      </c>
      <c r="G1543" s="1">
        <v>343560</v>
      </c>
    </row>
    <row r="1544" spans="1:7" x14ac:dyDescent="0.25">
      <c r="A1544" s="1" t="s">
        <v>1759</v>
      </c>
      <c r="B1544" s="2" t="str">
        <f>HYPERLINK("https://www.elsevier.com/locate/issn/0896-8411", "Journal of Autoimmunity")</f>
        <v>Journal of Autoimmunity</v>
      </c>
      <c r="C1544" s="1" t="s">
        <v>10</v>
      </c>
      <c r="D1544" s="1">
        <v>5420</v>
      </c>
      <c r="E1544" s="1">
        <v>5070</v>
      </c>
      <c r="F1544" s="1">
        <v>4340</v>
      </c>
      <c r="G1544" s="1">
        <v>672240</v>
      </c>
    </row>
    <row r="1545" spans="1:7" x14ac:dyDescent="0.25">
      <c r="A1545" s="1" t="s">
        <v>1760</v>
      </c>
      <c r="B1545" s="2" t="str">
        <f>HYPERLINK("https://www.elsevier.com/locate/issn/2949-8554", "Journal of Automation and Intelligence")</f>
        <v>Journal of Automation and Intelligence</v>
      </c>
      <c r="C1545" s="1" t="s">
        <v>34</v>
      </c>
      <c r="D1545" s="1" t="s">
        <v>324</v>
      </c>
      <c r="E1545" s="1" t="s">
        <v>324</v>
      </c>
      <c r="F1545" s="1" t="s">
        <v>324</v>
      </c>
      <c r="G1545" s="1" t="s">
        <v>324</v>
      </c>
    </row>
    <row r="1546" spans="1:7" x14ac:dyDescent="0.25">
      <c r="A1546" s="1" t="s">
        <v>1761</v>
      </c>
      <c r="B1546" s="2" t="str">
        <f>HYPERLINK("https://www.elsevier.com/locate/issn/0975-9476", "Journal of Ayurveda and Integrative Medicine")</f>
        <v>Journal of Ayurveda and Integrative Medicine</v>
      </c>
      <c r="C1546" s="1" t="s">
        <v>23</v>
      </c>
      <c r="D1546" s="1">
        <v>1800</v>
      </c>
      <c r="E1546" s="1">
        <v>1680</v>
      </c>
      <c r="F1546" s="1">
        <v>1440</v>
      </c>
      <c r="G1546" s="1">
        <v>223250</v>
      </c>
    </row>
    <row r="1547" spans="1:7" x14ac:dyDescent="0.25">
      <c r="A1547" s="1" t="s">
        <v>1762</v>
      </c>
      <c r="B1547" s="2" t="str">
        <f>HYPERLINK("https://www.elsevier.com/locate/issn/0378-4266", "Journal of Banking &amp; Finance")</f>
        <v>Journal of Banking &amp; Finance</v>
      </c>
      <c r="C1547" s="1" t="s">
        <v>10</v>
      </c>
      <c r="D1547" s="1">
        <v>3340</v>
      </c>
      <c r="E1547" s="1">
        <v>3120</v>
      </c>
      <c r="F1547" s="1">
        <v>2670</v>
      </c>
      <c r="G1547" s="1">
        <v>414260</v>
      </c>
    </row>
    <row r="1548" spans="1:7" x14ac:dyDescent="0.25">
      <c r="A1548" s="1" t="s">
        <v>1763</v>
      </c>
      <c r="B1548" s="2" t="str">
        <f>HYPERLINK("https://www.elsevier.com/locate/issn/0005-7916", "Journal of Behavior Therapy and Experimental Psychiatry")</f>
        <v>Journal of Behavior Therapy and Experimental Psychiatry</v>
      </c>
      <c r="C1548" s="1" t="s">
        <v>10</v>
      </c>
      <c r="D1548" s="1">
        <v>3140</v>
      </c>
      <c r="E1548" s="1">
        <v>2940</v>
      </c>
      <c r="F1548" s="1">
        <v>2510</v>
      </c>
      <c r="G1548" s="1">
        <v>389450</v>
      </c>
    </row>
    <row r="1549" spans="1:7" x14ac:dyDescent="0.25">
      <c r="A1549" s="1" t="s">
        <v>1764</v>
      </c>
      <c r="B1549" s="2" t="str">
        <f>HYPERLINK("https://www.elsevier.com/locate/issn/2589-9791", "Journal of Behavioral and Cognitive Therapy")</f>
        <v>Journal of Behavioral and Cognitive Therapy</v>
      </c>
      <c r="C1549" s="1" t="s">
        <v>10</v>
      </c>
      <c r="D1549" s="1">
        <v>1500</v>
      </c>
      <c r="E1549" s="1">
        <v>1400</v>
      </c>
      <c r="F1549" s="1">
        <v>1200</v>
      </c>
      <c r="G1549" s="1">
        <v>186050</v>
      </c>
    </row>
    <row r="1550" spans="1:7" x14ac:dyDescent="0.25">
      <c r="A1550" s="1" t="s">
        <v>1765</v>
      </c>
      <c r="B1550" s="2" t="str">
        <f>HYPERLINK("https://www.elsevier.com/locate/issn/2214-8043", "Journal of Behavioral and Experimental Economics")</f>
        <v>Journal of Behavioral and Experimental Economics</v>
      </c>
      <c r="C1550" s="1" t="s">
        <v>10</v>
      </c>
      <c r="D1550" s="1">
        <v>2830</v>
      </c>
      <c r="E1550" s="1">
        <v>2650</v>
      </c>
      <c r="F1550" s="1">
        <v>2270</v>
      </c>
      <c r="G1550" s="1">
        <v>351000</v>
      </c>
    </row>
    <row r="1551" spans="1:7" x14ac:dyDescent="0.25">
      <c r="A1551" s="1" t="s">
        <v>1766</v>
      </c>
      <c r="B1551" s="2" t="str">
        <f>HYPERLINK("https://www.elsevier.com/locate/issn/2214-6350", "Journal of Behavioral and Experimental Finance")</f>
        <v>Journal of Behavioral and Experimental Finance</v>
      </c>
      <c r="C1551" s="1" t="s">
        <v>10</v>
      </c>
      <c r="D1551" s="1">
        <v>4290</v>
      </c>
      <c r="E1551" s="1">
        <v>4010</v>
      </c>
      <c r="F1551" s="1">
        <v>3430</v>
      </c>
      <c r="G1551" s="1">
        <v>532090</v>
      </c>
    </row>
    <row r="1552" spans="1:7" x14ac:dyDescent="0.25">
      <c r="A1552" s="1" t="s">
        <v>1767</v>
      </c>
      <c r="B1552" s="2" t="str">
        <f>HYPERLINK("https://www.elsevier.com/locate/issn/0021-9258", "Journal of Biological Chemistry")</f>
        <v>Journal of Biological Chemistry</v>
      </c>
      <c r="C1552" s="1" t="s">
        <v>23</v>
      </c>
      <c r="D1552" s="1">
        <v>3430</v>
      </c>
      <c r="E1552" s="1">
        <v>3210</v>
      </c>
      <c r="F1552" s="1">
        <v>2750</v>
      </c>
      <c r="G1552" s="1">
        <v>425420</v>
      </c>
    </row>
    <row r="1553" spans="1:7" x14ac:dyDescent="0.25">
      <c r="A1553" s="1" t="s">
        <v>1768</v>
      </c>
      <c r="B1553" s="2" t="str">
        <f>HYPERLINK("https://www.elsevier.com/locate/issn/0021-9290", "Journal of Biomechanics")</f>
        <v>Journal of Biomechanics</v>
      </c>
      <c r="C1553" s="1" t="s">
        <v>10</v>
      </c>
      <c r="D1553" s="1">
        <v>3650</v>
      </c>
      <c r="E1553" s="1">
        <v>3410</v>
      </c>
      <c r="F1553" s="1">
        <v>2920</v>
      </c>
      <c r="G1553" s="1">
        <v>452710</v>
      </c>
    </row>
    <row r="1554" spans="1:7" x14ac:dyDescent="0.25">
      <c r="A1554" s="1" t="s">
        <v>1769</v>
      </c>
      <c r="B1554" s="2" t="str">
        <f>HYPERLINK("https://www.elsevier.com/locate/issn/3051-1313", "Journal of Biomechanics Open")</f>
        <v>Journal of Biomechanics Open</v>
      </c>
      <c r="C1554" s="1" t="s">
        <v>23</v>
      </c>
      <c r="D1554" s="1">
        <v>3000</v>
      </c>
      <c r="E1554" s="1">
        <v>2810</v>
      </c>
      <c r="F1554" s="1">
        <v>2400</v>
      </c>
      <c r="G1554" s="1">
        <v>372090</v>
      </c>
    </row>
    <row r="1555" spans="1:7" x14ac:dyDescent="0.25">
      <c r="A1555" s="1" t="s">
        <v>1770</v>
      </c>
      <c r="B1555" s="2" t="str">
        <f>HYPERLINK("https://www.elsevier.com/locate/issn/1532-0464", "Journal of Biomedical Informatics")</f>
        <v>Journal of Biomedical Informatics</v>
      </c>
      <c r="C1555" s="1" t="s">
        <v>10</v>
      </c>
      <c r="D1555" s="1">
        <v>3410</v>
      </c>
      <c r="E1555" s="1">
        <v>3190</v>
      </c>
      <c r="F1555" s="1">
        <v>2730</v>
      </c>
      <c r="G1555" s="1">
        <v>422940</v>
      </c>
    </row>
    <row r="1556" spans="1:7" x14ac:dyDescent="0.25">
      <c r="A1556" s="1" t="s">
        <v>1771</v>
      </c>
      <c r="B1556" s="2" t="str">
        <f>HYPERLINK("https://www.elsevier.com/locate/issn/2369-9698", "Journal of Bioresources and Bioproducts")</f>
        <v>Journal of Bioresources and Bioproducts</v>
      </c>
      <c r="C1556" s="1" t="s">
        <v>34</v>
      </c>
      <c r="D1556" s="1">
        <v>990</v>
      </c>
      <c r="E1556" s="1">
        <v>930</v>
      </c>
      <c r="F1556" s="1">
        <v>790</v>
      </c>
      <c r="G1556" s="1">
        <v>122790</v>
      </c>
    </row>
    <row r="1557" spans="1:7" x14ac:dyDescent="0.25">
      <c r="A1557" s="1" t="s">
        <v>1772</v>
      </c>
      <c r="B1557" s="2" t="str">
        <f>HYPERLINK("https://www.elsevier.com/locate/issn/2588-9338", "Journal of Biosafety and Biosecurity")</f>
        <v>Journal of Biosafety and Biosecurity</v>
      </c>
      <c r="C1557" s="1" t="s">
        <v>34</v>
      </c>
      <c r="D1557" s="1">
        <v>700</v>
      </c>
      <c r="E1557" s="1">
        <v>650</v>
      </c>
      <c r="F1557" s="1">
        <v>560</v>
      </c>
      <c r="G1557" s="1">
        <v>86820</v>
      </c>
    </row>
    <row r="1558" spans="1:7" x14ac:dyDescent="0.25">
      <c r="A1558" s="1" t="s">
        <v>1773</v>
      </c>
      <c r="B1558" s="2" t="str">
        <f>HYPERLINK("https://www.elsevier.com/locate/issn/1389-1723", "Journal of Bioscience and Bioengineering")</f>
        <v>Journal of Bioscience and Bioengineering</v>
      </c>
      <c r="C1558" s="1" t="s">
        <v>436</v>
      </c>
      <c r="D1558" s="1" t="s">
        <v>324</v>
      </c>
      <c r="E1558" s="1" t="s">
        <v>324</v>
      </c>
      <c r="F1558" s="1" t="s">
        <v>324</v>
      </c>
      <c r="G1558" s="1" t="s">
        <v>324</v>
      </c>
    </row>
    <row r="1559" spans="1:7" x14ac:dyDescent="0.25">
      <c r="A1559" s="1" t="s">
        <v>1774</v>
      </c>
      <c r="B1559" s="2" t="str">
        <f>HYPERLINK("https://www.elsevier.com/locate/issn/0168-1656", "Journal of Biotechnology")</f>
        <v>Journal of Biotechnology</v>
      </c>
      <c r="C1559" s="1" t="s">
        <v>10</v>
      </c>
      <c r="D1559" s="1">
        <v>4360</v>
      </c>
      <c r="E1559" s="1">
        <v>4080</v>
      </c>
      <c r="F1559" s="1">
        <v>3490</v>
      </c>
      <c r="G1559" s="1">
        <v>540770</v>
      </c>
    </row>
    <row r="1560" spans="1:7" x14ac:dyDescent="0.25">
      <c r="A1560" s="1" t="s">
        <v>1775</v>
      </c>
      <c r="B1560" s="2" t="str">
        <f>HYPERLINK("https://www.elsevier.com/locate/issn/1360-8592", "Journal of Bodywork and Movement Therapies")</f>
        <v>Journal of Bodywork and Movement Therapies</v>
      </c>
      <c r="C1560" s="1" t="s">
        <v>10</v>
      </c>
      <c r="D1560" s="1">
        <v>3070</v>
      </c>
      <c r="E1560" s="1">
        <v>2870</v>
      </c>
      <c r="F1560" s="1">
        <v>2460</v>
      </c>
      <c r="G1560" s="1">
        <v>380770</v>
      </c>
    </row>
    <row r="1561" spans="1:7" x14ac:dyDescent="0.25">
      <c r="A1561" s="1" t="s">
        <v>1776</v>
      </c>
      <c r="B1561" s="2" t="str">
        <f>HYPERLINK("https://www.elsevier.com/locate/issn/2212-1374", "Journal of Bone Oncology")</f>
        <v>Journal of Bone Oncology</v>
      </c>
      <c r="C1561" s="1" t="s">
        <v>23</v>
      </c>
      <c r="D1561" s="1">
        <v>2990</v>
      </c>
      <c r="E1561" s="1">
        <v>2800</v>
      </c>
      <c r="F1561" s="1">
        <v>2390</v>
      </c>
      <c r="G1561" s="1">
        <v>370850</v>
      </c>
    </row>
    <row r="1562" spans="1:7" x14ac:dyDescent="0.25">
      <c r="A1562" s="1" t="s">
        <v>1777</v>
      </c>
      <c r="B1562" s="2" t="str">
        <f>HYPERLINK("https://www.elsevier.com/locate/issn/2352-7102", "Journal of Building Engineering")</f>
        <v>Journal of Building Engineering</v>
      </c>
      <c r="C1562" s="1" t="s">
        <v>10</v>
      </c>
      <c r="D1562" s="1">
        <v>3940</v>
      </c>
      <c r="E1562" s="1">
        <v>3690</v>
      </c>
      <c r="F1562" s="1">
        <v>3150</v>
      </c>
      <c r="G1562" s="1">
        <v>488680</v>
      </c>
    </row>
    <row r="1563" spans="1:7" x14ac:dyDescent="0.25">
      <c r="A1563" s="1" t="s">
        <v>1778</v>
      </c>
      <c r="B1563" s="2" t="str">
        <f>HYPERLINK("https://www.elsevier.com/locate/issn/0148-2963", "Journal of Business Research")</f>
        <v>Journal of Business Research</v>
      </c>
      <c r="C1563" s="1" t="s">
        <v>10</v>
      </c>
      <c r="D1563" s="1">
        <v>4440</v>
      </c>
      <c r="E1563" s="1">
        <v>4150</v>
      </c>
      <c r="F1563" s="1">
        <v>3550</v>
      </c>
      <c r="G1563" s="1">
        <v>550690</v>
      </c>
    </row>
    <row r="1564" spans="1:7" x14ac:dyDescent="0.25">
      <c r="A1564" s="1" t="s">
        <v>1779</v>
      </c>
      <c r="B1564" s="2" t="str">
        <f>HYPERLINK("https://www.elsevier.com/locate/issn/0883-9026", "Journal of Business Venturing")</f>
        <v>Journal of Business Venturing</v>
      </c>
      <c r="C1564" s="1" t="s">
        <v>10</v>
      </c>
      <c r="D1564" s="1">
        <v>4130</v>
      </c>
      <c r="E1564" s="1">
        <v>3860</v>
      </c>
      <c r="F1564" s="1">
        <v>3310</v>
      </c>
      <c r="G1564" s="1">
        <v>512240</v>
      </c>
    </row>
    <row r="1565" spans="1:7" x14ac:dyDescent="0.25">
      <c r="A1565" s="1" t="s">
        <v>1780</v>
      </c>
      <c r="B1565" s="2" t="str">
        <f>HYPERLINK("https://www.elsevier.com/locate/issn/2667-2774", "Journal of Business Venturing Design")</f>
        <v>Journal of Business Venturing Design</v>
      </c>
      <c r="C1565" s="1" t="s">
        <v>10</v>
      </c>
      <c r="D1565" s="1">
        <v>2060</v>
      </c>
      <c r="E1565" s="1">
        <v>1930</v>
      </c>
      <c r="F1565" s="1">
        <v>1650</v>
      </c>
      <c r="G1565" s="1">
        <v>255500</v>
      </c>
    </row>
    <row r="1566" spans="1:7" x14ac:dyDescent="0.25">
      <c r="A1566" s="1" t="s">
        <v>1781</v>
      </c>
      <c r="B1566" s="2" t="str">
        <f>HYPERLINK("https://www.elsevier.com/locate/issn/2352-6734", "Journal of Business Venturing Insights")</f>
        <v>Journal of Business Venturing Insights</v>
      </c>
      <c r="C1566" s="1" t="s">
        <v>10</v>
      </c>
      <c r="D1566" s="1">
        <v>2890</v>
      </c>
      <c r="E1566" s="1">
        <v>3060</v>
      </c>
      <c r="F1566" s="1">
        <v>2620</v>
      </c>
      <c r="G1566" s="1">
        <v>405580</v>
      </c>
    </row>
    <row r="1567" spans="1:7" x14ac:dyDescent="0.25">
      <c r="A1567" s="1" t="s">
        <v>1782</v>
      </c>
      <c r="B1567" s="2" t="str">
        <f>HYPERLINK("https://www.elsevier.com/locate/issn/2213-5383", "Journal of Cancer Policy")</f>
        <v>Journal of Cancer Policy</v>
      </c>
      <c r="C1567" s="1" t="s">
        <v>10</v>
      </c>
      <c r="D1567" s="1">
        <v>2760</v>
      </c>
      <c r="E1567" s="1">
        <v>2580</v>
      </c>
      <c r="F1567" s="1">
        <v>2210</v>
      </c>
      <c r="G1567" s="1">
        <v>342320</v>
      </c>
    </row>
    <row r="1568" spans="1:7" x14ac:dyDescent="0.25">
      <c r="A1568" s="1" t="s">
        <v>1783</v>
      </c>
      <c r="B1568" s="2" t="str">
        <f>HYPERLINK("https://www.elsevier.com/locate/issn/1071-9164", "Journal of Cardiac Failure")</f>
        <v>Journal of Cardiac Failure</v>
      </c>
      <c r="C1568" s="1" t="s">
        <v>10</v>
      </c>
      <c r="D1568" s="1">
        <v>3970</v>
      </c>
      <c r="E1568" s="1">
        <v>3710</v>
      </c>
      <c r="F1568" s="1">
        <v>3180</v>
      </c>
      <c r="G1568" s="1">
        <v>492400</v>
      </c>
    </row>
    <row r="1569" spans="1:7" x14ac:dyDescent="0.25">
      <c r="A1569" s="1" t="s">
        <v>1784</v>
      </c>
      <c r="B1569" s="2" t="str">
        <f>HYPERLINK("https://www.elsevier.com/locate/issn/3050-6611", "Journal of Cardiac Failure - Intersections")</f>
        <v>Journal of Cardiac Failure - Intersections</v>
      </c>
      <c r="C1569" s="1" t="s">
        <v>23</v>
      </c>
      <c r="D1569" s="1">
        <v>3150</v>
      </c>
      <c r="E1569" s="1">
        <v>2950</v>
      </c>
      <c r="F1569" s="1">
        <v>2520</v>
      </c>
      <c r="G1569" s="1">
        <v>390690</v>
      </c>
    </row>
    <row r="1570" spans="1:7" x14ac:dyDescent="0.25">
      <c r="A1570" s="1" t="s">
        <v>1785</v>
      </c>
      <c r="B1570" s="2" t="str">
        <f>HYPERLINK("https://www.elsevier.com/locate/issn/0914-5087", "Journal of Cardiology")</f>
        <v>Journal of Cardiology</v>
      </c>
      <c r="C1570" s="1" t="s">
        <v>10</v>
      </c>
      <c r="D1570" s="1">
        <v>3000</v>
      </c>
      <c r="E1570" s="1">
        <v>2810</v>
      </c>
      <c r="F1570" s="1">
        <v>2400</v>
      </c>
      <c r="G1570" s="1">
        <v>372090</v>
      </c>
    </row>
    <row r="1571" spans="1:7" x14ac:dyDescent="0.25">
      <c r="A1571" s="1" t="s">
        <v>1786</v>
      </c>
      <c r="B1571" s="2" t="str">
        <f>HYPERLINK("https://www.elsevier.com/locate/issn/1878-5409", "Journal of Cardiology Cases")</f>
        <v>Journal of Cardiology Cases</v>
      </c>
      <c r="C1571" s="1" t="s">
        <v>10</v>
      </c>
      <c r="D1571" s="1">
        <v>1500</v>
      </c>
      <c r="E1571" s="1">
        <v>1400</v>
      </c>
      <c r="F1571" s="1">
        <v>1200</v>
      </c>
      <c r="G1571" s="1">
        <v>186050</v>
      </c>
    </row>
    <row r="1572" spans="1:7" x14ac:dyDescent="0.25">
      <c r="A1572" s="1" t="s">
        <v>1787</v>
      </c>
      <c r="B1572" s="2" t="str">
        <f>HYPERLINK("https://www.elsevier.com/locate/issn/1053-0770", "Journal of Cardiothoracic and Vascular Anesthesia")</f>
        <v>Journal of Cardiothoracic and Vascular Anesthesia</v>
      </c>
      <c r="C1572" s="1" t="s">
        <v>10</v>
      </c>
      <c r="D1572" s="1">
        <v>3490</v>
      </c>
      <c r="E1572" s="1">
        <v>3260</v>
      </c>
      <c r="F1572" s="1">
        <v>2790</v>
      </c>
      <c r="G1572" s="1">
        <v>432860</v>
      </c>
    </row>
    <row r="1573" spans="1:7" x14ac:dyDescent="0.25">
      <c r="A1573" s="1" t="s">
        <v>1788</v>
      </c>
      <c r="B1573" s="2" t="str">
        <f>HYPERLINK("https://www.elsevier.com/locate/issn/1934-5925", "Journal of Cardiovascular Computed Tomography")</f>
        <v>Journal of Cardiovascular Computed Tomography</v>
      </c>
      <c r="C1573" s="1" t="s">
        <v>10</v>
      </c>
      <c r="D1573" s="1">
        <v>3410</v>
      </c>
      <c r="E1573" s="1">
        <v>3190</v>
      </c>
      <c r="F1573" s="1">
        <v>2730</v>
      </c>
      <c r="G1573" s="1">
        <v>422940</v>
      </c>
    </row>
    <row r="1574" spans="1:7" x14ac:dyDescent="0.25">
      <c r="A1574" s="1" t="s">
        <v>1789</v>
      </c>
      <c r="B1574" s="2" t="str">
        <f>HYPERLINK("https://www.elsevier.com/locate/issn/1097-6647", "Journal of Cardiovascular Magnetic Resonance")</f>
        <v>Journal of Cardiovascular Magnetic Resonance</v>
      </c>
      <c r="C1574" s="1" t="s">
        <v>23</v>
      </c>
      <c r="D1574" s="1">
        <v>3000</v>
      </c>
      <c r="E1574" s="1">
        <v>2810</v>
      </c>
      <c r="F1574" s="1">
        <v>2400</v>
      </c>
      <c r="G1574" s="1">
        <v>372090</v>
      </c>
    </row>
    <row r="1575" spans="1:7" x14ac:dyDescent="0.25">
      <c r="A1575" s="1" t="s">
        <v>1790</v>
      </c>
      <c r="B1575" s="2" t="str">
        <f>HYPERLINK("https://www.elsevier.com/locate/issn/2667-2545", "Journal of Cartilage &amp; Joint Preservation")</f>
        <v>Journal of Cartilage &amp; Joint Preservation</v>
      </c>
      <c r="C1575" s="1" t="s">
        <v>23</v>
      </c>
      <c r="D1575" s="1">
        <v>1250</v>
      </c>
      <c r="E1575" s="1">
        <v>1170</v>
      </c>
      <c r="F1575" s="1">
        <v>1000</v>
      </c>
      <c r="G1575" s="1">
        <v>155040</v>
      </c>
    </row>
    <row r="1576" spans="1:7" x14ac:dyDescent="0.25">
      <c r="A1576" s="1" t="s">
        <v>1791</v>
      </c>
      <c r="B1576" s="2" t="str">
        <f>HYPERLINK("https://www.elsevier.com/locate/issn/0021-9517", "Journal of Catalysis")</f>
        <v>Journal of Catalysis</v>
      </c>
      <c r="C1576" s="1" t="s">
        <v>10</v>
      </c>
      <c r="D1576" s="1">
        <v>4250</v>
      </c>
      <c r="E1576" s="1">
        <v>3980</v>
      </c>
      <c r="F1576" s="1">
        <v>3400</v>
      </c>
      <c r="G1576" s="1">
        <v>527130</v>
      </c>
    </row>
    <row r="1577" spans="1:7" x14ac:dyDescent="0.25">
      <c r="A1577" s="1" t="s">
        <v>1792</v>
      </c>
      <c r="B1577" s="2" t="str">
        <f>HYPERLINK("https://www.elsevier.com/locate/issn/0733-5210", "Journal of Cereal Science")</f>
        <v>Journal of Cereal Science</v>
      </c>
      <c r="C1577" s="1" t="s">
        <v>10</v>
      </c>
      <c r="D1577" s="1">
        <v>3930</v>
      </c>
      <c r="E1577" s="1">
        <v>3680</v>
      </c>
      <c r="F1577" s="1">
        <v>3150</v>
      </c>
      <c r="G1577" s="1">
        <v>487440</v>
      </c>
    </row>
    <row r="1578" spans="1:7" x14ac:dyDescent="0.25">
      <c r="A1578" s="1" t="s">
        <v>1793</v>
      </c>
      <c r="B1578" s="2" t="str">
        <f>HYPERLINK("https://www.elsevier.com/locate/issn/1556-3499", "Journal of Chiropractic Humanities")</f>
        <v>Journal of Chiropractic Humanities</v>
      </c>
      <c r="C1578" s="1" t="s">
        <v>10</v>
      </c>
      <c r="D1578" s="1">
        <v>3000</v>
      </c>
      <c r="E1578" s="1">
        <v>2810</v>
      </c>
      <c r="F1578" s="1">
        <v>2400</v>
      </c>
      <c r="G1578" s="1">
        <v>372090</v>
      </c>
    </row>
    <row r="1579" spans="1:7" x14ac:dyDescent="0.25">
      <c r="A1579" s="1" t="s">
        <v>1794</v>
      </c>
      <c r="B1579" s="2" t="str">
        <f>HYPERLINK("https://www.elsevier.com/locate/issn/1556-3707", "Journal of Chiropractic Medicine")</f>
        <v>Journal of Chiropractic Medicine</v>
      </c>
      <c r="C1579" s="1" t="s">
        <v>10</v>
      </c>
      <c r="D1579" s="1">
        <v>3300</v>
      </c>
      <c r="E1579" s="1">
        <v>3090</v>
      </c>
      <c r="F1579" s="1">
        <v>2640</v>
      </c>
      <c r="G1579" s="1">
        <v>409300</v>
      </c>
    </row>
    <row r="1580" spans="1:7" x14ac:dyDescent="0.25">
      <c r="A1580" s="1" t="s">
        <v>1795</v>
      </c>
      <c r="B1580" s="2" t="str">
        <f>HYPERLINK("https://www.elsevier.com/locate/issn/1755-5345", "Journal of Choice Modelling")</f>
        <v>Journal of Choice Modelling</v>
      </c>
      <c r="C1580" s="1" t="s">
        <v>10</v>
      </c>
      <c r="D1580" s="1">
        <v>3090</v>
      </c>
      <c r="E1580" s="1">
        <v>2890</v>
      </c>
      <c r="F1580" s="1">
        <v>2470</v>
      </c>
      <c r="G1580" s="1">
        <v>383250</v>
      </c>
    </row>
    <row r="1581" spans="1:7" x14ac:dyDescent="0.25">
      <c r="A1581" s="1" t="s">
        <v>1796</v>
      </c>
      <c r="B1581" s="2" t="str">
        <f>HYPERLINK("https://www.elsevier.com/locate/issn/0021-9673", "Journal of Chromatography A")</f>
        <v>Journal of Chromatography A</v>
      </c>
      <c r="C1581" s="1" t="s">
        <v>10</v>
      </c>
      <c r="D1581" s="1">
        <v>4040</v>
      </c>
      <c r="E1581" s="1">
        <v>3780</v>
      </c>
      <c r="F1581" s="1">
        <v>3230</v>
      </c>
      <c r="G1581" s="1">
        <v>501080</v>
      </c>
    </row>
    <row r="1582" spans="1:7" x14ac:dyDescent="0.25">
      <c r="A1582" s="1" t="s">
        <v>1797</v>
      </c>
      <c r="B1582" s="2" t="str">
        <f>HYPERLINK("https://www.elsevier.com/locate/issn/1570-0232", "Journal of Chromatography B")</f>
        <v>Journal of Chromatography B</v>
      </c>
      <c r="C1582" s="1" t="s">
        <v>10</v>
      </c>
      <c r="D1582" s="1">
        <v>3640</v>
      </c>
      <c r="E1582" s="1">
        <v>3410</v>
      </c>
      <c r="F1582" s="1">
        <v>2910</v>
      </c>
      <c r="G1582" s="1">
        <v>451470</v>
      </c>
    </row>
    <row r="1583" spans="1:7" x14ac:dyDescent="0.25">
      <c r="A1583" s="1" t="s">
        <v>1798</v>
      </c>
      <c r="B1583" s="2" t="str">
        <f>HYPERLINK("https://www.elsevier.com/locate/issn/2772-3917", "Journal of Chromatography Open")</f>
        <v>Journal of Chromatography Open</v>
      </c>
      <c r="C1583" s="1" t="s">
        <v>23</v>
      </c>
      <c r="D1583" s="1">
        <v>2360</v>
      </c>
      <c r="E1583" s="1">
        <v>2210</v>
      </c>
      <c r="F1583" s="1">
        <v>1890</v>
      </c>
      <c r="G1583" s="1">
        <v>292710</v>
      </c>
    </row>
    <row r="1584" spans="1:7" x14ac:dyDescent="0.25">
      <c r="A1584" s="1" t="s">
        <v>1799</v>
      </c>
      <c r="B1584" s="2" t="str">
        <f>HYPERLINK("https://www.elsevier.com/locate/issn/0959-6526", "Journal of Cleaner Production")</f>
        <v>Journal of Cleaner Production</v>
      </c>
      <c r="C1584" s="1" t="s">
        <v>10</v>
      </c>
      <c r="D1584" s="1">
        <v>4660</v>
      </c>
      <c r="E1584" s="1">
        <v>4360</v>
      </c>
      <c r="F1584" s="1">
        <v>3730</v>
      </c>
      <c r="G1584" s="1">
        <v>577980</v>
      </c>
    </row>
    <row r="1585" spans="1:7" x14ac:dyDescent="0.25">
      <c r="A1585" s="1" t="s">
        <v>1800</v>
      </c>
      <c r="B1585" s="2" t="str">
        <f>HYPERLINK("https://www.elsevier.com/locate/issn/2949-7280", "Journal of Climate Finance")</f>
        <v>Journal of Climate Finance</v>
      </c>
      <c r="C1585" s="1" t="s">
        <v>10</v>
      </c>
      <c r="D1585" s="1">
        <v>2470</v>
      </c>
      <c r="E1585" s="1">
        <v>2310</v>
      </c>
      <c r="F1585" s="1">
        <v>1980</v>
      </c>
      <c r="G1585" s="1">
        <v>306350</v>
      </c>
    </row>
    <row r="1586" spans="1:7" x14ac:dyDescent="0.25">
      <c r="A1586" s="1" t="s">
        <v>1801</v>
      </c>
      <c r="B1586" s="2" t="str">
        <f>HYPERLINK("https://www.elsevier.com/locate/issn/0973-6883", "Journal of Clinical and Experimental Hepatology")</f>
        <v>Journal of Clinical and Experimental Hepatology</v>
      </c>
      <c r="C1586" s="1" t="s">
        <v>10</v>
      </c>
      <c r="D1586" s="1">
        <v>3150</v>
      </c>
      <c r="E1586" s="1">
        <v>2950</v>
      </c>
      <c r="F1586" s="1">
        <v>2520</v>
      </c>
      <c r="G1586" s="1">
        <v>390690</v>
      </c>
    </row>
    <row r="1587" spans="1:7" x14ac:dyDescent="0.25">
      <c r="A1587" s="1" t="s">
        <v>1802</v>
      </c>
      <c r="B1587" s="2" t="str">
        <f>HYPERLINK("https://www.elsevier.com/locate/issn/2214-6237", "Journal of Clinical &amp; Translational Endocrinology")</f>
        <v>Journal of Clinical &amp; Translational Endocrinology</v>
      </c>
      <c r="C1587" s="1" t="s">
        <v>23</v>
      </c>
      <c r="D1587" s="1">
        <v>3500</v>
      </c>
      <c r="E1587" s="1">
        <v>3270</v>
      </c>
      <c r="F1587" s="1">
        <v>2800</v>
      </c>
      <c r="G1587" s="1">
        <v>434110</v>
      </c>
    </row>
    <row r="1588" spans="1:7" x14ac:dyDescent="0.25">
      <c r="A1588" s="1" t="s">
        <v>1803</v>
      </c>
      <c r="B1588" s="2" t="str">
        <f>HYPERLINK("https://www.elsevier.com/locate/issn/2214-6245", "Journal of Clinical and Translational Endocrinology: Case Reports")</f>
        <v>Journal of Clinical and Translational Endocrinology: Case Reports</v>
      </c>
      <c r="C1588" s="1" t="s">
        <v>23</v>
      </c>
      <c r="D1588" s="1">
        <v>1260</v>
      </c>
      <c r="E1588" s="1">
        <v>1180</v>
      </c>
      <c r="F1588" s="1">
        <v>1010</v>
      </c>
      <c r="G1588" s="1">
        <v>156280</v>
      </c>
    </row>
    <row r="1589" spans="1:7" x14ac:dyDescent="0.25">
      <c r="A1589" s="1" t="s">
        <v>1804</v>
      </c>
      <c r="B1589" s="2" t="str">
        <f>HYPERLINK("https://www.elsevier.com/locate/issn/0952-8180", "Journal of Clinical Anesthesia")</f>
        <v>Journal of Clinical Anesthesia</v>
      </c>
      <c r="C1589" s="1" t="s">
        <v>10</v>
      </c>
      <c r="D1589" s="1">
        <v>4090</v>
      </c>
      <c r="E1589" s="1">
        <v>3830</v>
      </c>
      <c r="F1589" s="1">
        <v>3270</v>
      </c>
      <c r="G1589" s="1">
        <v>507280</v>
      </c>
    </row>
    <row r="1590" spans="1:7" x14ac:dyDescent="0.25">
      <c r="A1590" s="1" t="s">
        <v>1805</v>
      </c>
      <c r="B1590" s="2" t="str">
        <f>HYPERLINK("https://www.elsevier.com/locate/issn/1094-6950", "Journal of Clinical Densitometry")</f>
        <v>Journal of Clinical Densitometry</v>
      </c>
      <c r="C1590" s="1" t="s">
        <v>10</v>
      </c>
      <c r="D1590" s="1">
        <v>3000</v>
      </c>
      <c r="E1590" s="1">
        <v>2810</v>
      </c>
      <c r="F1590" s="1">
        <v>2400</v>
      </c>
      <c r="G1590" s="1">
        <v>372090</v>
      </c>
    </row>
    <row r="1591" spans="1:7" x14ac:dyDescent="0.25">
      <c r="A1591" s="1" t="s">
        <v>1806</v>
      </c>
      <c r="B1591" s="2" t="str">
        <f>HYPERLINK("https://www.elsevier.com/locate/issn/0895-4356", "Journal of Clinical Epidemiology")</f>
        <v>Journal of Clinical Epidemiology</v>
      </c>
      <c r="C1591" s="1" t="s">
        <v>10</v>
      </c>
      <c r="D1591" s="1">
        <v>4210</v>
      </c>
      <c r="E1591" s="1">
        <v>3940</v>
      </c>
      <c r="F1591" s="1">
        <v>3370</v>
      </c>
      <c r="G1591" s="1">
        <v>522170</v>
      </c>
    </row>
    <row r="1592" spans="1:7" x14ac:dyDescent="0.25">
      <c r="A1592" s="1" t="s">
        <v>1807</v>
      </c>
      <c r="B1592" s="2" t="str">
        <f>HYPERLINK("https://www.elsevier.com/locate/issn/1933-2874", "Journal of Clinical Lipidology")</f>
        <v>Journal of Clinical Lipidology</v>
      </c>
      <c r="C1592" s="1" t="s">
        <v>10</v>
      </c>
      <c r="D1592" s="1">
        <v>3510</v>
      </c>
      <c r="E1592" s="1">
        <v>3280</v>
      </c>
      <c r="F1592" s="1">
        <v>2810</v>
      </c>
      <c r="G1592" s="1">
        <v>435350</v>
      </c>
    </row>
    <row r="1593" spans="1:7" x14ac:dyDescent="0.25">
      <c r="A1593" s="1" t="s">
        <v>1808</v>
      </c>
      <c r="B1593" s="2" t="str">
        <f>HYPERLINK("https://www.elsevier.com/locate/issn/0967-5868", "Journal of Clinical Neuroscience")</f>
        <v>Journal of Clinical Neuroscience</v>
      </c>
      <c r="C1593" s="1" t="s">
        <v>10</v>
      </c>
      <c r="D1593" s="1">
        <v>3830</v>
      </c>
      <c r="E1593" s="1">
        <v>3580</v>
      </c>
      <c r="F1593" s="1">
        <v>3070</v>
      </c>
      <c r="G1593" s="1">
        <v>475030</v>
      </c>
    </row>
    <row r="1594" spans="1:7" x14ac:dyDescent="0.25">
      <c r="A1594" s="1" t="s">
        <v>1809</v>
      </c>
      <c r="B1594" s="2" t="str">
        <f>HYPERLINK("https://www.elsevier.com/locate/issn/0976-5662", "Journal of Clinical Orthopaedics and Trauma")</f>
        <v>Journal of Clinical Orthopaedics and Trauma</v>
      </c>
      <c r="C1594" s="1" t="s">
        <v>10</v>
      </c>
      <c r="D1594" s="1">
        <v>3000</v>
      </c>
      <c r="E1594" s="1">
        <v>2810</v>
      </c>
      <c r="F1594" s="1">
        <v>2400</v>
      </c>
      <c r="G1594" s="1">
        <v>372090</v>
      </c>
    </row>
    <row r="1595" spans="1:7" x14ac:dyDescent="0.25">
      <c r="A1595" s="1" t="s">
        <v>1810</v>
      </c>
      <c r="B1595" s="2" t="str">
        <f>HYPERLINK("https://www.elsevier.com/locate/issn/2405-5794", "Journal of Clinical Tuberculosis and Other Mycobacterial Diseases")</f>
        <v>Journal of Clinical Tuberculosis and Other Mycobacterial Diseases</v>
      </c>
      <c r="C1595" s="1" t="s">
        <v>23</v>
      </c>
      <c r="D1595" s="1">
        <v>2470</v>
      </c>
      <c r="E1595" s="1">
        <v>2310</v>
      </c>
      <c r="F1595" s="1">
        <v>1980</v>
      </c>
      <c r="G1595" s="1">
        <v>306350</v>
      </c>
    </row>
    <row r="1596" spans="1:7" x14ac:dyDescent="0.25">
      <c r="A1596" s="1" t="s">
        <v>1811</v>
      </c>
      <c r="B1596" s="2" t="str">
        <f>HYPERLINK("https://www.elsevier.com/locate/issn/1386-6532", "Journal of Clinical Virology")</f>
        <v>Journal of Clinical Virology</v>
      </c>
      <c r="C1596" s="1" t="s">
        <v>10</v>
      </c>
      <c r="D1596" s="1">
        <v>4210</v>
      </c>
      <c r="E1596" s="1">
        <v>3940</v>
      </c>
      <c r="F1596" s="1">
        <v>3370</v>
      </c>
      <c r="G1596" s="1">
        <v>522170</v>
      </c>
    </row>
    <row r="1597" spans="1:7" x14ac:dyDescent="0.25">
      <c r="A1597" s="1" t="s">
        <v>1812</v>
      </c>
      <c r="B1597" s="2" t="str">
        <f>HYPERLINK("https://www.elsevier.com/locate/issn/2667-0380", "Journal of Clinical Virology Plus")</f>
        <v>Journal of Clinical Virology Plus</v>
      </c>
      <c r="C1597" s="1" t="s">
        <v>23</v>
      </c>
      <c r="D1597" s="1">
        <v>2320</v>
      </c>
      <c r="E1597" s="1">
        <v>2170</v>
      </c>
      <c r="F1597" s="1">
        <v>1860</v>
      </c>
      <c r="G1597" s="1">
        <v>287750</v>
      </c>
    </row>
    <row r="1598" spans="1:7" x14ac:dyDescent="0.25">
      <c r="A1598" s="1" t="s">
        <v>1813</v>
      </c>
      <c r="B1598" s="2" t="str">
        <f>HYPERLINK("https://www.elsevier.com/locate/issn/2213-297X", "Journal of Co-operative Organization and Management")</f>
        <v>Journal of Co-operative Organization and Management</v>
      </c>
      <c r="C1598" s="1" t="s">
        <v>10</v>
      </c>
      <c r="D1598" s="1">
        <v>3840</v>
      </c>
      <c r="E1598" s="1">
        <v>3590</v>
      </c>
      <c r="F1598" s="1">
        <v>3070</v>
      </c>
      <c r="G1598" s="1">
        <v>476280</v>
      </c>
    </row>
    <row r="1599" spans="1:7" x14ac:dyDescent="0.25">
      <c r="A1599" s="1" t="s">
        <v>1814</v>
      </c>
      <c r="B1599" s="2" t="str">
        <f>HYPERLINK("https://www.elsevier.com/locate/issn/2212-9820", "Journal of CO2 Utilization")</f>
        <v>Journal of CO2 Utilization</v>
      </c>
      <c r="C1599" s="1" t="s">
        <v>23</v>
      </c>
      <c r="D1599" s="1">
        <v>3360</v>
      </c>
      <c r="E1599" s="1">
        <v>3140</v>
      </c>
      <c r="F1599" s="1">
        <v>2690</v>
      </c>
      <c r="G1599" s="1">
        <v>416740</v>
      </c>
    </row>
    <row r="1600" spans="1:7" x14ac:dyDescent="0.25">
      <c r="A1600" s="1" t="s">
        <v>1815</v>
      </c>
      <c r="B1600" s="2" t="str">
        <f>HYPERLINK("https://www.elsevier.com/locate/issn/0021-9797", "Journal of Colloid and Interface Science")</f>
        <v>Journal of Colloid and Interface Science</v>
      </c>
      <c r="C1600" s="1" t="s">
        <v>10</v>
      </c>
      <c r="D1600" s="1">
        <v>4470</v>
      </c>
      <c r="E1600" s="1">
        <v>4180</v>
      </c>
      <c r="F1600" s="1">
        <v>3580</v>
      </c>
      <c r="G1600" s="1">
        <v>554410</v>
      </c>
    </row>
    <row r="1601" spans="1:7" x14ac:dyDescent="0.25">
      <c r="A1601" s="1" t="s">
        <v>1816</v>
      </c>
      <c r="B1601" s="2" t="str">
        <f>HYPERLINK("https://www.elsevier.com/locate/issn/2405-8513", "Journal of Commodity Markets")</f>
        <v>Journal of Commodity Markets</v>
      </c>
      <c r="C1601" s="1" t="s">
        <v>10</v>
      </c>
      <c r="D1601" s="1">
        <v>2910</v>
      </c>
      <c r="E1601" s="1">
        <v>2650</v>
      </c>
      <c r="F1601" s="1">
        <v>2330</v>
      </c>
      <c r="G1601" s="1">
        <v>360930</v>
      </c>
    </row>
    <row r="1602" spans="1:7" x14ac:dyDescent="0.25">
      <c r="A1602" s="1" t="s">
        <v>1817</v>
      </c>
      <c r="B1602" s="2" t="str">
        <f>HYPERLINK("https://www.elsevier.com/locate/issn/0021-9924", "Journal of Communication Disorders")</f>
        <v>Journal of Communication Disorders</v>
      </c>
      <c r="C1602" s="1" t="s">
        <v>10</v>
      </c>
      <c r="D1602" s="1">
        <v>3960</v>
      </c>
      <c r="E1602" s="1">
        <v>3700</v>
      </c>
      <c r="F1602" s="1">
        <v>3170</v>
      </c>
      <c r="G1602" s="1">
        <v>491160</v>
      </c>
    </row>
    <row r="1603" spans="1:7" x14ac:dyDescent="0.25">
      <c r="A1603" s="1" t="s">
        <v>1818</v>
      </c>
      <c r="B1603" s="2" t="str">
        <f>HYPERLINK("https://www.elsevier.com/locate/issn/0147-5967", "Journal of Comparative Economics")</f>
        <v>Journal of Comparative Economics</v>
      </c>
      <c r="C1603" s="1" t="s">
        <v>10</v>
      </c>
      <c r="D1603" s="1">
        <v>3510</v>
      </c>
      <c r="E1603" s="1">
        <v>3280</v>
      </c>
      <c r="F1603" s="1">
        <v>2810</v>
      </c>
      <c r="G1603" s="1">
        <v>435350</v>
      </c>
    </row>
    <row r="1604" spans="1:7" x14ac:dyDescent="0.25">
      <c r="A1604" s="1" t="s">
        <v>1819</v>
      </c>
      <c r="B1604" s="2" t="str">
        <f>HYPERLINK("https://www.elsevier.com/locate/issn/0021-9975", "Journal of Comparative Pathology")</f>
        <v>Journal of Comparative Pathology</v>
      </c>
      <c r="C1604" s="1" t="s">
        <v>10</v>
      </c>
      <c r="D1604" s="1">
        <v>3520</v>
      </c>
      <c r="E1604" s="1">
        <v>3290</v>
      </c>
      <c r="F1604" s="1">
        <v>2820</v>
      </c>
      <c r="G1604" s="1">
        <v>436590</v>
      </c>
    </row>
    <row r="1605" spans="1:7" x14ac:dyDescent="0.25">
      <c r="A1605" s="1" t="s">
        <v>1820</v>
      </c>
      <c r="B1605" s="2" t="str">
        <f>HYPERLINK("https://www.elsevier.com/locate/issn/0885-064X", "Journal of Complexity")</f>
        <v>Journal of Complexity</v>
      </c>
      <c r="C1605" s="1" t="s">
        <v>10</v>
      </c>
      <c r="D1605" s="1">
        <v>2680</v>
      </c>
      <c r="E1605" s="1">
        <v>2510</v>
      </c>
      <c r="F1605" s="1">
        <v>2150</v>
      </c>
      <c r="G1605" s="1">
        <v>332400</v>
      </c>
    </row>
    <row r="1606" spans="1:7" x14ac:dyDescent="0.25">
      <c r="A1606" s="1" t="s">
        <v>1821</v>
      </c>
      <c r="B1606" s="2" t="str">
        <f>HYPERLINK("https://www.elsevier.com/locate/issn/2772-8277", "Journal of Computational Algebra")</f>
        <v>Journal of Computational Algebra</v>
      </c>
      <c r="C1606" s="1" t="s">
        <v>23</v>
      </c>
      <c r="D1606" s="1">
        <v>1860</v>
      </c>
      <c r="E1606" s="1">
        <v>1740</v>
      </c>
      <c r="F1606" s="1">
        <v>1490</v>
      </c>
      <c r="G1606" s="1">
        <v>230700</v>
      </c>
    </row>
    <row r="1607" spans="1:7" x14ac:dyDescent="0.25">
      <c r="A1607" s="1" t="s">
        <v>1822</v>
      </c>
      <c r="B1607" s="2" t="str">
        <f>HYPERLINK("https://www.elsevier.com/locate/issn/0377-0427", "Journal of Computational and Applied Mathematics")</f>
        <v>Journal of Computational and Applied Mathematics</v>
      </c>
      <c r="C1607" s="1" t="s">
        <v>10</v>
      </c>
      <c r="D1607" s="1">
        <v>3250</v>
      </c>
      <c r="E1607" s="1">
        <v>3040</v>
      </c>
      <c r="F1607" s="1">
        <v>2600</v>
      </c>
      <c r="G1607" s="1">
        <v>403100</v>
      </c>
    </row>
    <row r="1608" spans="1:7" x14ac:dyDescent="0.25">
      <c r="A1608" s="1" t="s">
        <v>1823</v>
      </c>
      <c r="B1608" s="2" t="str">
        <f>HYPERLINK("https://www.elsevier.com/locate/issn/2772-4158", "Journal of Computational Mathematics and Data Science")</f>
        <v>Journal of Computational Mathematics and Data Science</v>
      </c>
      <c r="C1608" s="1" t="s">
        <v>23</v>
      </c>
      <c r="D1608" s="1">
        <v>1070</v>
      </c>
      <c r="E1608" s="1">
        <v>1000</v>
      </c>
      <c r="F1608" s="1">
        <v>860</v>
      </c>
      <c r="G1608" s="1">
        <v>132710</v>
      </c>
    </row>
    <row r="1609" spans="1:7" x14ac:dyDescent="0.25">
      <c r="A1609" s="1" t="s">
        <v>1824</v>
      </c>
      <c r="B1609" s="2" t="str">
        <f>HYPERLINK("https://www.elsevier.com/locate/issn/0021-9991", "Journal of Computational Physics")</f>
        <v>Journal of Computational Physics</v>
      </c>
      <c r="C1609" s="1" t="s">
        <v>10</v>
      </c>
      <c r="D1609" s="1">
        <v>3980</v>
      </c>
      <c r="E1609" s="1">
        <v>3720</v>
      </c>
      <c r="F1609" s="1">
        <v>3190</v>
      </c>
      <c r="G1609" s="1">
        <v>493640</v>
      </c>
    </row>
    <row r="1610" spans="1:7" x14ac:dyDescent="0.25">
      <c r="A1610" s="1" t="s">
        <v>1825</v>
      </c>
      <c r="B1610" s="2" t="str">
        <f>HYPERLINK("https://www.elsevier.com/locate/issn/2590-0552", "Journal of Computational Physics: X")</f>
        <v>Journal of Computational Physics: X</v>
      </c>
      <c r="C1610" s="1" t="s">
        <v>23</v>
      </c>
      <c r="D1610" s="1">
        <v>1690</v>
      </c>
      <c r="E1610" s="1">
        <v>1580</v>
      </c>
      <c r="F1610" s="1">
        <v>1350</v>
      </c>
      <c r="G1610" s="1">
        <v>209610</v>
      </c>
    </row>
    <row r="1611" spans="1:7" x14ac:dyDescent="0.25">
      <c r="A1611" s="1" t="s">
        <v>1826</v>
      </c>
      <c r="B1611" s="2" t="str">
        <f>HYPERLINK("https://www.elsevier.com/locate/issn/1877-7503", "Journal of Computational Science")</f>
        <v>Journal of Computational Science</v>
      </c>
      <c r="C1611" s="1" t="s">
        <v>10</v>
      </c>
      <c r="D1611" s="1">
        <v>3560</v>
      </c>
      <c r="E1611" s="1">
        <v>3330</v>
      </c>
      <c r="F1611" s="1">
        <v>2850</v>
      </c>
      <c r="G1611" s="1">
        <v>441550</v>
      </c>
    </row>
    <row r="1612" spans="1:7" x14ac:dyDescent="0.25">
      <c r="A1612" s="1" t="s">
        <v>1827</v>
      </c>
      <c r="B1612" s="2" t="str">
        <f>HYPERLINK("https://www.elsevier.com/locate/issn/0022-0000", "Journal of Computer and System Sciences")</f>
        <v>Journal of Computer and System Sciences</v>
      </c>
      <c r="C1612" s="1" t="s">
        <v>10</v>
      </c>
      <c r="D1612" s="1">
        <v>2610</v>
      </c>
      <c r="E1612" s="1">
        <v>2440</v>
      </c>
      <c r="F1612" s="1">
        <v>2090</v>
      </c>
      <c r="G1612" s="1">
        <v>323720</v>
      </c>
    </row>
    <row r="1613" spans="1:7" x14ac:dyDescent="0.25">
      <c r="A1613" s="1" t="s">
        <v>1828</v>
      </c>
      <c r="B1613" s="2" t="str">
        <f>HYPERLINK("https://www.elsevier.com/locate/issn/2590-1184", "Journal of Computer Languages")</f>
        <v>Journal of Computer Languages</v>
      </c>
      <c r="C1613" s="1" t="s">
        <v>10</v>
      </c>
      <c r="D1613" s="1">
        <v>2640</v>
      </c>
      <c r="E1613" s="1">
        <v>2470</v>
      </c>
      <c r="F1613" s="1">
        <v>2110</v>
      </c>
      <c r="G1613" s="1">
        <v>327440</v>
      </c>
    </row>
    <row r="1614" spans="1:7" x14ac:dyDescent="0.25">
      <c r="A1614" s="1" t="s">
        <v>1829</v>
      </c>
      <c r="B1614" s="2" t="str">
        <f>HYPERLINK("https://www.elsevier.com/locate/issn/0143-974X", "Journal of Constructional Steel Research")</f>
        <v>Journal of Constructional Steel Research</v>
      </c>
      <c r="C1614" s="1" t="s">
        <v>10</v>
      </c>
      <c r="D1614" s="1">
        <v>4310</v>
      </c>
      <c r="E1614" s="1">
        <v>4030</v>
      </c>
      <c r="F1614" s="1">
        <v>3450</v>
      </c>
      <c r="G1614" s="1">
        <v>534570</v>
      </c>
    </row>
    <row r="1615" spans="1:7" x14ac:dyDescent="0.25">
      <c r="A1615" s="1" t="s">
        <v>1830</v>
      </c>
      <c r="B1615" s="2" t="str">
        <f>HYPERLINK("https://www.elsevier.com/locate/issn/0169-7722", "Journal of Contaminant Hydrology")</f>
        <v>Journal of Contaminant Hydrology</v>
      </c>
      <c r="C1615" s="1" t="s">
        <v>10</v>
      </c>
      <c r="D1615" s="1">
        <v>3640</v>
      </c>
      <c r="E1615" s="1">
        <v>3410</v>
      </c>
      <c r="F1615" s="1">
        <v>2910</v>
      </c>
      <c r="G1615" s="1">
        <v>451470</v>
      </c>
    </row>
    <row r="1616" spans="1:7" x14ac:dyDescent="0.25">
      <c r="A1616" s="1" t="s">
        <v>1831</v>
      </c>
      <c r="B1616" s="2" t="str">
        <f>HYPERLINK("https://www.elsevier.com/locate/issn/1815-5669", "Journal of Contemporary Accounting &amp; Economics")</f>
        <v>Journal of Contemporary Accounting &amp; Economics</v>
      </c>
      <c r="C1616" s="1" t="s">
        <v>10</v>
      </c>
      <c r="D1616" s="1">
        <v>3860</v>
      </c>
      <c r="E1616" s="1">
        <v>3610</v>
      </c>
      <c r="F1616" s="1">
        <v>3090</v>
      </c>
      <c r="G1616" s="1">
        <v>478760</v>
      </c>
    </row>
    <row r="1617" spans="1:7" x14ac:dyDescent="0.25">
      <c r="A1617" s="1" t="s">
        <v>1832</v>
      </c>
      <c r="B1617" s="2" t="str">
        <f>HYPERLINK("https://www.elsevier.com/locate/issn/2212-1447", "Journal of Contextual Behavioral Science")</f>
        <v>Journal of Contextual Behavioral Science</v>
      </c>
      <c r="C1617" s="1" t="s">
        <v>10</v>
      </c>
      <c r="D1617" s="1">
        <v>3580</v>
      </c>
      <c r="E1617" s="1">
        <v>3350</v>
      </c>
      <c r="F1617" s="1">
        <v>2870</v>
      </c>
      <c r="G1617" s="1">
        <v>444030</v>
      </c>
    </row>
    <row r="1618" spans="1:7" x14ac:dyDescent="0.25">
      <c r="A1618" s="1" t="s">
        <v>1833</v>
      </c>
      <c r="B1618" s="2" t="str">
        <f>HYPERLINK("https://www.elsevier.com/locate/issn/0168-3659", "Journal of Controlled Release")</f>
        <v>Journal of Controlled Release</v>
      </c>
      <c r="C1618" s="1" t="s">
        <v>10</v>
      </c>
      <c r="D1618" s="1">
        <v>4440</v>
      </c>
      <c r="E1618" s="1">
        <v>4150</v>
      </c>
      <c r="F1618" s="1">
        <v>3550</v>
      </c>
      <c r="G1618" s="1">
        <v>550690</v>
      </c>
    </row>
    <row r="1619" spans="1:7" x14ac:dyDescent="0.25">
      <c r="A1619" s="1" t="s">
        <v>1834</v>
      </c>
      <c r="B1619" s="2" t="str">
        <f>HYPERLINK("https://www.elsevier.com/locate/issn/0929-1199", "Journal of Corporate Finance")</f>
        <v>Journal of Corporate Finance</v>
      </c>
      <c r="C1619" s="1" t="s">
        <v>10</v>
      </c>
      <c r="D1619" s="1">
        <v>4140</v>
      </c>
      <c r="E1619" s="1">
        <v>3870</v>
      </c>
      <c r="F1619" s="1">
        <v>3310</v>
      </c>
      <c r="G1619" s="1">
        <v>513480</v>
      </c>
    </row>
    <row r="1620" spans="1:7" x14ac:dyDescent="0.25">
      <c r="A1620" s="1" t="s">
        <v>1835</v>
      </c>
      <c r="B1620" s="2" t="str">
        <f>HYPERLINK("https://www.elsevier.com/locate/issn/1010-5182", "Journal of Cranio-Maxillofacial Surgery")</f>
        <v>Journal of Cranio-Maxillofacial Surgery</v>
      </c>
      <c r="C1620" s="1" t="s">
        <v>10</v>
      </c>
      <c r="D1620" s="1">
        <v>3976</v>
      </c>
      <c r="E1620" s="1">
        <v>3720</v>
      </c>
      <c r="F1620" s="1">
        <v>3180</v>
      </c>
      <c r="G1620" s="1">
        <v>493140</v>
      </c>
    </row>
    <row r="1621" spans="1:7" x14ac:dyDescent="0.25">
      <c r="A1621" s="1" t="s">
        <v>1836</v>
      </c>
      <c r="B1621" s="2" t="str">
        <f>HYPERLINK("https://www.elsevier.com/locate/issn/2713-3745", "Journal of Creativity")</f>
        <v>Journal of Creativity</v>
      </c>
      <c r="C1621" s="1" t="s">
        <v>23</v>
      </c>
      <c r="D1621" s="1">
        <v>1560</v>
      </c>
      <c r="E1621" s="1">
        <v>1460</v>
      </c>
      <c r="F1621" s="1">
        <v>1250</v>
      </c>
      <c r="G1621" s="1">
        <v>193490</v>
      </c>
    </row>
    <row r="1622" spans="1:7" x14ac:dyDescent="0.25">
      <c r="A1622" s="1" t="s">
        <v>1837</v>
      </c>
      <c r="B1622" s="2" t="str">
        <f>HYPERLINK("https://www.elsevier.com/locate/issn/0047-2352", "Journal of Criminal Justice")</f>
        <v>Journal of Criminal Justice</v>
      </c>
      <c r="C1622" s="1" t="s">
        <v>10</v>
      </c>
      <c r="D1622" s="1">
        <v>3930</v>
      </c>
      <c r="E1622" s="1">
        <v>3680</v>
      </c>
      <c r="F1622" s="1">
        <v>3150</v>
      </c>
      <c r="G1622" s="1">
        <v>487440</v>
      </c>
    </row>
    <row r="1623" spans="1:7" x14ac:dyDescent="0.25">
      <c r="A1623" s="1" t="s">
        <v>1838</v>
      </c>
      <c r="B1623" s="2" t="str">
        <f>HYPERLINK("https://www.elsevier.com/locate/issn/0883-9441", "Journal of Critical Care")</f>
        <v>Journal of Critical Care</v>
      </c>
      <c r="C1623" s="1" t="s">
        <v>10</v>
      </c>
      <c r="D1623" s="1">
        <v>3610</v>
      </c>
      <c r="E1623" s="1">
        <v>3380</v>
      </c>
      <c r="F1623" s="1">
        <v>2890</v>
      </c>
      <c r="G1623" s="1">
        <v>447750</v>
      </c>
    </row>
    <row r="1624" spans="1:7" x14ac:dyDescent="0.25">
      <c r="A1624" s="1" t="s">
        <v>1839</v>
      </c>
      <c r="B1624" s="2" t="str">
        <f>HYPERLINK("https://www.elsevier.com/locate/issn/0022-0248", "Journal of Crystal Growth")</f>
        <v>Journal of Crystal Growth</v>
      </c>
      <c r="C1624" s="1" t="s">
        <v>10</v>
      </c>
      <c r="D1624" s="1">
        <v>3110</v>
      </c>
      <c r="E1624" s="1">
        <v>2910</v>
      </c>
      <c r="F1624" s="1">
        <v>2490</v>
      </c>
      <c r="G1624" s="1">
        <v>385730</v>
      </c>
    </row>
    <row r="1625" spans="1:7" x14ac:dyDescent="0.25">
      <c r="A1625" s="1" t="s">
        <v>1840</v>
      </c>
      <c r="B1625" s="2" t="str">
        <f>HYPERLINK("https://www.elsevier.com/locate/issn/1296-2074", "Journal of Cultural Heritage")</f>
        <v>Journal of Cultural Heritage</v>
      </c>
      <c r="C1625" s="1" t="s">
        <v>10</v>
      </c>
      <c r="D1625" s="1">
        <v>3580</v>
      </c>
      <c r="E1625" s="1">
        <v>3350</v>
      </c>
      <c r="F1625" s="1">
        <v>2870</v>
      </c>
      <c r="G1625" s="1">
        <v>444030</v>
      </c>
    </row>
    <row r="1626" spans="1:7" x14ac:dyDescent="0.25">
      <c r="A1626" s="1" t="s">
        <v>1841</v>
      </c>
      <c r="B1626" s="2" t="str">
        <f>HYPERLINK("https://www.elsevier.com/locate/issn/2950-1059", "Journal of Cycling and Micromobility Research")</f>
        <v>Journal of Cycling and Micromobility Research</v>
      </c>
      <c r="C1626" s="1" t="s">
        <v>23</v>
      </c>
      <c r="D1626" s="1">
        <v>1850</v>
      </c>
      <c r="E1626" s="1">
        <v>1730</v>
      </c>
      <c r="F1626" s="1">
        <v>1480</v>
      </c>
      <c r="G1626" s="1">
        <v>229460</v>
      </c>
    </row>
    <row r="1627" spans="1:7" x14ac:dyDescent="0.25">
      <c r="A1627" s="1" t="s">
        <v>1842</v>
      </c>
      <c r="B1627" s="2" t="str">
        <f>HYPERLINK("https://www.elsevier.com/locate/issn/1569-1993", "Journal of Cystic Fibrosis")</f>
        <v>Journal of Cystic Fibrosis</v>
      </c>
      <c r="C1627" s="1" t="s">
        <v>10</v>
      </c>
      <c r="D1627" s="1">
        <v>4470</v>
      </c>
      <c r="E1627" s="1">
        <v>4180</v>
      </c>
      <c r="F1627" s="1">
        <v>3580</v>
      </c>
      <c r="G1627" s="1">
        <v>554410</v>
      </c>
    </row>
    <row r="1628" spans="1:7" x14ac:dyDescent="0.25">
      <c r="A1628" s="1" t="s">
        <v>1843</v>
      </c>
      <c r="B1628" s="2" t="str">
        <f>HYPERLINK("https://www.elsevier.com/locate/issn/0022-0302", "Journal of Dairy Science")</f>
        <v>Journal of Dairy Science</v>
      </c>
      <c r="C1628" s="1" t="s">
        <v>23</v>
      </c>
      <c r="D1628" s="1">
        <v>3500</v>
      </c>
      <c r="E1628" s="1">
        <v>3270</v>
      </c>
      <c r="F1628" s="1">
        <v>2800</v>
      </c>
      <c r="G1628" s="1">
        <v>434110</v>
      </c>
    </row>
    <row r="1629" spans="1:7" x14ac:dyDescent="0.25">
      <c r="A1629" s="1" t="s">
        <v>1844</v>
      </c>
      <c r="B1629" s="2" t="str">
        <f>HYPERLINK("https://www.elsevier.com/locate/issn/1991-7902", "Journal of Dental Sciences")</f>
        <v>Journal of Dental Sciences</v>
      </c>
      <c r="C1629" s="1" t="s">
        <v>23</v>
      </c>
      <c r="D1629" s="1" t="s">
        <v>324</v>
      </c>
      <c r="E1629" s="1" t="s">
        <v>324</v>
      </c>
      <c r="F1629" s="1" t="s">
        <v>324</v>
      </c>
      <c r="G1629" s="1" t="s">
        <v>324</v>
      </c>
    </row>
    <row r="1630" spans="1:7" x14ac:dyDescent="0.25">
      <c r="A1630" s="1" t="s">
        <v>1845</v>
      </c>
      <c r="B1630" s="2" t="str">
        <f>HYPERLINK("https://www.elsevier.com/locate/issn/0300-5712", "Journal of Dentistry")</f>
        <v>Journal of Dentistry</v>
      </c>
      <c r="C1630" s="1" t="s">
        <v>10</v>
      </c>
      <c r="D1630" s="1">
        <v>4160</v>
      </c>
      <c r="E1630" s="1">
        <v>3890</v>
      </c>
      <c r="F1630" s="1">
        <v>3330</v>
      </c>
      <c r="G1630" s="1">
        <v>515960</v>
      </c>
    </row>
    <row r="1631" spans="1:7" x14ac:dyDescent="0.25">
      <c r="A1631" s="1" t="s">
        <v>1846</v>
      </c>
      <c r="B1631" s="2" t="str">
        <f>HYPERLINK("https://www.elsevier.com/locate/issn/2950-306X", "Journal of Dermatologic Science and Cosmetic Technology")</f>
        <v>Journal of Dermatologic Science and Cosmetic Technology</v>
      </c>
      <c r="C1631" s="1" t="s">
        <v>34</v>
      </c>
      <c r="D1631" s="1" t="s">
        <v>324</v>
      </c>
      <c r="E1631" s="1" t="s">
        <v>324</v>
      </c>
      <c r="F1631" s="1" t="s">
        <v>324</v>
      </c>
      <c r="G1631" s="1" t="s">
        <v>324</v>
      </c>
    </row>
    <row r="1632" spans="1:7" x14ac:dyDescent="0.25">
      <c r="A1632" s="1" t="s">
        <v>1847</v>
      </c>
      <c r="B1632" s="2" t="str">
        <f>HYPERLINK("https://www.elsevier.com/locate/issn/0923-1811", "Journal of Dermatological Science")</f>
        <v>Journal of Dermatological Science</v>
      </c>
      <c r="C1632" s="1" t="s">
        <v>10</v>
      </c>
      <c r="D1632" s="1">
        <v>3980</v>
      </c>
      <c r="E1632" s="1">
        <v>3720</v>
      </c>
      <c r="F1632" s="1">
        <v>3190</v>
      </c>
      <c r="G1632" s="1">
        <v>493640</v>
      </c>
    </row>
    <row r="1633" spans="1:7" x14ac:dyDescent="0.25">
      <c r="A1633" s="1" t="s">
        <v>1848</v>
      </c>
      <c r="B1633" s="2" t="str">
        <f>HYPERLINK("https://www.elsevier.com/locate/issn/2212-571X", "Journal of Destination Marketing &amp; Management")</f>
        <v>Journal of Destination Marketing &amp; Management</v>
      </c>
      <c r="C1633" s="1" t="s">
        <v>10</v>
      </c>
      <c r="D1633" s="1">
        <v>4320</v>
      </c>
      <c r="E1633" s="1">
        <v>4040</v>
      </c>
      <c r="F1633" s="1">
        <v>3460</v>
      </c>
      <c r="G1633" s="1">
        <v>535810</v>
      </c>
    </row>
    <row r="1634" spans="1:7" x14ac:dyDescent="0.25">
      <c r="A1634" s="1" t="s">
        <v>1849</v>
      </c>
      <c r="B1634" s="2" t="str">
        <f>HYPERLINK("https://www.elsevier.com/locate/issn/0304-3878", "Journal of Development Economics")</f>
        <v>Journal of Development Economics</v>
      </c>
      <c r="C1634" s="1" t="s">
        <v>10</v>
      </c>
      <c r="D1634" s="1">
        <v>4590</v>
      </c>
      <c r="E1634" s="1">
        <v>4290</v>
      </c>
      <c r="F1634" s="1">
        <v>3670</v>
      </c>
      <c r="G1634" s="1">
        <v>569300</v>
      </c>
    </row>
    <row r="1635" spans="1:7" x14ac:dyDescent="0.25">
      <c r="A1635" s="1" t="s">
        <v>1850</v>
      </c>
      <c r="B1635" s="2" t="str">
        <f>HYPERLINK("https://www.elsevier.com/locate/issn/1056-8727", "Journal of Diabetes and its Complications")</f>
        <v>Journal of Diabetes and its Complications</v>
      </c>
      <c r="C1635" s="1" t="s">
        <v>10</v>
      </c>
      <c r="D1635" s="1">
        <v>3760</v>
      </c>
      <c r="E1635" s="1">
        <v>3520</v>
      </c>
      <c r="F1635" s="1">
        <v>3010</v>
      </c>
      <c r="G1635" s="1">
        <v>466350</v>
      </c>
    </row>
    <row r="1636" spans="1:7" x14ac:dyDescent="0.25">
      <c r="A1636" s="1" t="s">
        <v>1851</v>
      </c>
      <c r="B1636" s="2" t="str">
        <f>HYPERLINK("https://www.elsevier.com/locate/issn/0022-0396", "Journal of Differential Equations")</f>
        <v>Journal of Differential Equations</v>
      </c>
      <c r="C1636" s="1" t="s">
        <v>10</v>
      </c>
      <c r="D1636" s="1">
        <v>3550</v>
      </c>
      <c r="E1636" s="1">
        <v>3320</v>
      </c>
      <c r="F1636" s="1">
        <v>2840</v>
      </c>
      <c r="G1636" s="1">
        <v>440310</v>
      </c>
    </row>
    <row r="1637" spans="1:7" x14ac:dyDescent="0.25">
      <c r="A1637" s="1" t="s">
        <v>1852</v>
      </c>
      <c r="B1637" s="2" t="str">
        <f>HYPERLINK("https://www.elsevier.com/locate/issn/2773-0670", "Journal of Digital Economy")</f>
        <v>Journal of Digital Economy</v>
      </c>
      <c r="C1637" s="1" t="s">
        <v>34</v>
      </c>
      <c r="D1637" s="1">
        <v>500</v>
      </c>
      <c r="E1637" s="1">
        <v>470</v>
      </c>
      <c r="F1637" s="1">
        <v>400</v>
      </c>
      <c r="G1637" s="1">
        <v>62020</v>
      </c>
    </row>
    <row r="1638" spans="1:7" x14ac:dyDescent="0.25">
      <c r="A1638" s="1" t="s">
        <v>1853</v>
      </c>
      <c r="B1638" s="2" t="str">
        <f>HYPERLINK("https://www.elsevier.com/locate/issn/1773-2247", "Journal of Drug Delivery Science and Technology")</f>
        <v>Journal of Drug Delivery Science and Technology</v>
      </c>
      <c r="C1638" s="1" t="s">
        <v>10</v>
      </c>
      <c r="D1638" s="1">
        <v>3810</v>
      </c>
      <c r="E1638" s="1">
        <v>3560</v>
      </c>
      <c r="F1638" s="1">
        <v>3050</v>
      </c>
      <c r="G1638" s="1">
        <v>472550</v>
      </c>
    </row>
    <row r="1639" spans="1:7" x14ac:dyDescent="0.25">
      <c r="A1639" s="1" t="s">
        <v>1854</v>
      </c>
      <c r="B1639" s="2" t="str">
        <f>HYPERLINK("https://www.elsevier.com/locate/issn/2950-5763", "Journal of Dynamic Disasters")</f>
        <v>Journal of Dynamic Disasters</v>
      </c>
      <c r="C1639" s="1" t="s">
        <v>34</v>
      </c>
      <c r="D1639" s="1" t="s">
        <v>324</v>
      </c>
      <c r="E1639" s="1" t="s">
        <v>324</v>
      </c>
      <c r="F1639" s="1" t="s">
        <v>324</v>
      </c>
      <c r="G1639" s="1" t="s">
        <v>324</v>
      </c>
    </row>
    <row r="1640" spans="1:7" x14ac:dyDescent="0.25">
      <c r="A1640" s="1" t="s">
        <v>1855</v>
      </c>
      <c r="B1640" s="2" t="str">
        <f>HYPERLINK("https://www.elsevier.com/locate/issn/0304-4076", "Journal of Econometrics")</f>
        <v>Journal of Econometrics</v>
      </c>
      <c r="C1640" s="1" t="s">
        <v>10</v>
      </c>
      <c r="D1640" s="1">
        <v>4570</v>
      </c>
      <c r="E1640" s="1">
        <v>4280</v>
      </c>
      <c r="F1640" s="1">
        <v>3660</v>
      </c>
      <c r="G1640" s="1">
        <v>566820</v>
      </c>
    </row>
    <row r="1641" spans="1:7" x14ac:dyDescent="0.25">
      <c r="A1641" s="1" t="s">
        <v>1856</v>
      </c>
      <c r="B1641" s="2" t="str">
        <f>HYPERLINK("https://www.elsevier.com/locate/issn/0167-2681", "Journal of Economic Behavior &amp; Organization")</f>
        <v>Journal of Economic Behavior &amp; Organization</v>
      </c>
      <c r="C1641" s="1" t="s">
        <v>10</v>
      </c>
      <c r="D1641" s="1">
        <v>3180</v>
      </c>
      <c r="E1641" s="1">
        <v>2970</v>
      </c>
      <c r="F1641" s="1">
        <v>2550</v>
      </c>
      <c r="G1641" s="1">
        <v>394420</v>
      </c>
    </row>
    <row r="1642" spans="1:7" x14ac:dyDescent="0.25">
      <c r="A1642" s="1" t="s">
        <v>1857</v>
      </c>
      <c r="B1642" s="2" t="str">
        <f>HYPERLINK("https://www.elsevier.com/locate/issn/2949-7914", "Journal of Economic Criminology")</f>
        <v>Journal of Economic Criminology</v>
      </c>
      <c r="C1642" s="1" t="s">
        <v>23</v>
      </c>
      <c r="D1642" s="1">
        <v>1540</v>
      </c>
      <c r="E1642" s="1">
        <v>1440</v>
      </c>
      <c r="F1642" s="1">
        <v>1230</v>
      </c>
      <c r="G1642" s="1">
        <v>191010</v>
      </c>
    </row>
    <row r="1643" spans="1:7" x14ac:dyDescent="0.25">
      <c r="A1643" s="1" t="s">
        <v>1858</v>
      </c>
      <c r="B1643" s="2" t="str">
        <f>HYPERLINK("https://www.elsevier.com/locate/issn/0165-1889", "Journal of Economic Dynamics and Control")</f>
        <v>Journal of Economic Dynamics and Control</v>
      </c>
      <c r="C1643" s="1" t="s">
        <v>10</v>
      </c>
      <c r="D1643" s="1">
        <v>3270</v>
      </c>
      <c r="E1643" s="1">
        <v>3060</v>
      </c>
      <c r="F1643" s="1">
        <v>2620</v>
      </c>
      <c r="G1643" s="1">
        <v>405580</v>
      </c>
    </row>
    <row r="1644" spans="1:7" x14ac:dyDescent="0.25">
      <c r="A1644" s="1" t="s">
        <v>1859</v>
      </c>
      <c r="B1644" s="2" t="str">
        <f>HYPERLINK("https://www.elsevier.com/locate/issn/0167-4870", "Journal of Economic Psychology")</f>
        <v>Journal of Economic Psychology</v>
      </c>
      <c r="C1644" s="1" t="s">
        <v>10</v>
      </c>
      <c r="D1644" s="1">
        <v>3710</v>
      </c>
      <c r="E1644" s="1">
        <v>3470</v>
      </c>
      <c r="F1644" s="1">
        <v>2970</v>
      </c>
      <c r="G1644" s="1">
        <v>460150</v>
      </c>
    </row>
    <row r="1645" spans="1:7" x14ac:dyDescent="0.25">
      <c r="A1645" s="1" t="s">
        <v>1860</v>
      </c>
      <c r="B1645" s="2" t="str">
        <f>HYPERLINK("https://www.elsevier.com/locate/issn/0022-0531", "Journal of Economic Theory")</f>
        <v>Journal of Economic Theory</v>
      </c>
      <c r="C1645" s="1" t="s">
        <v>10</v>
      </c>
      <c r="D1645" s="1">
        <v>3030</v>
      </c>
      <c r="E1645" s="1">
        <v>2830</v>
      </c>
      <c r="F1645" s="1">
        <v>2430</v>
      </c>
      <c r="G1645" s="1">
        <v>375810</v>
      </c>
    </row>
    <row r="1646" spans="1:7" x14ac:dyDescent="0.25">
      <c r="A1646" s="1" t="s">
        <v>1861</v>
      </c>
      <c r="B1646" s="2" t="str">
        <f>HYPERLINK("https://www.elsevier.com/locate/issn/0148-6195", "Journal of Economics and Business")</f>
        <v>Journal of Economics and Business</v>
      </c>
      <c r="C1646" s="1" t="s">
        <v>10</v>
      </c>
      <c r="D1646" s="1">
        <v>2640</v>
      </c>
      <c r="E1646" s="1">
        <v>2470</v>
      </c>
      <c r="F1646" s="1">
        <v>2110</v>
      </c>
      <c r="G1646" s="1">
        <v>327440</v>
      </c>
    </row>
    <row r="1647" spans="1:7" x14ac:dyDescent="0.25">
      <c r="A1647" s="1" t="s">
        <v>1862</v>
      </c>
      <c r="B1647" s="2" t="str">
        <f>HYPERLINK("https://www.elsevier.com/locate/issn/2949-9488", "Journal of Economy and Technology")</f>
        <v>Journal of Economy and Technology</v>
      </c>
      <c r="C1647" s="1" t="s">
        <v>34</v>
      </c>
      <c r="D1647" s="1">
        <v>500</v>
      </c>
      <c r="E1647" s="1">
        <v>470</v>
      </c>
      <c r="F1647" s="1">
        <v>400</v>
      </c>
      <c r="G1647" s="1">
        <v>62020</v>
      </c>
    </row>
    <row r="1648" spans="1:7" x14ac:dyDescent="0.25">
      <c r="A1648" s="1" t="s">
        <v>1863</v>
      </c>
      <c r="B1648" s="2" t="str">
        <f>HYPERLINK("https://www.elsevier.com/locate/issn/1572-6657", "Journal of Electroanalytical Chemistry")</f>
        <v>Journal of Electroanalytical Chemistry</v>
      </c>
      <c r="C1648" s="1" t="s">
        <v>10</v>
      </c>
      <c r="D1648" s="1">
        <v>3230</v>
      </c>
      <c r="E1648" s="1">
        <v>3020</v>
      </c>
      <c r="F1648" s="1">
        <v>2590</v>
      </c>
      <c r="G1648" s="1">
        <v>400620</v>
      </c>
    </row>
    <row r="1649" spans="1:7" x14ac:dyDescent="0.25">
      <c r="A1649" s="1" t="s">
        <v>1864</v>
      </c>
      <c r="B1649" s="2" t="str">
        <f>HYPERLINK("https://www.elsevier.com/locate/issn/0022-0736", "Journal of Electrocardiology")</f>
        <v>Journal of Electrocardiology</v>
      </c>
      <c r="C1649" s="1" t="s">
        <v>10</v>
      </c>
      <c r="D1649" s="1">
        <v>2890</v>
      </c>
      <c r="E1649" s="1">
        <v>2700</v>
      </c>
      <c r="F1649" s="1">
        <v>2310</v>
      </c>
      <c r="G1649" s="1">
        <v>358450</v>
      </c>
    </row>
    <row r="1650" spans="1:7" x14ac:dyDescent="0.25">
      <c r="A1650" s="1" t="s">
        <v>1865</v>
      </c>
      <c r="B1650" s="2" t="str">
        <f>HYPERLINK("https://www.elsevier.com/locate/issn/1050-6411", "Journal of Electromyography and Kinesiology")</f>
        <v>Journal of Electromyography and Kinesiology</v>
      </c>
      <c r="C1650" s="1" t="s">
        <v>10</v>
      </c>
      <c r="D1650" s="1">
        <v>3450</v>
      </c>
      <c r="E1650" s="1">
        <v>3230</v>
      </c>
      <c r="F1650" s="1">
        <v>2760</v>
      </c>
      <c r="G1650" s="1">
        <v>427900</v>
      </c>
    </row>
    <row r="1651" spans="1:7" x14ac:dyDescent="0.25">
      <c r="A1651" s="1" t="s">
        <v>1866</v>
      </c>
      <c r="B1651" s="2" t="str">
        <f>HYPERLINK("https://www.elsevier.com/locate/issn/0368-2048", "Journal of Electron Spectroscopy and Related Phenomena")</f>
        <v>Journal of Electron Spectroscopy and Related Phenomena</v>
      </c>
      <c r="C1651" s="1" t="s">
        <v>10</v>
      </c>
      <c r="D1651" s="1">
        <v>3170</v>
      </c>
      <c r="E1651" s="1">
        <v>2970</v>
      </c>
      <c r="F1651" s="1">
        <v>2540</v>
      </c>
      <c r="G1651" s="1">
        <v>393180</v>
      </c>
    </row>
    <row r="1652" spans="1:7" x14ac:dyDescent="0.25">
      <c r="A1652" s="1" t="s">
        <v>1867</v>
      </c>
      <c r="B1652" s="2" t="str">
        <f>HYPERLINK("https://www.elsevier.com/locate/issn/1674-862X", "Journal of Electronic Science and Technology")</f>
        <v>Journal of Electronic Science and Technology</v>
      </c>
      <c r="C1652" s="1" t="s">
        <v>34</v>
      </c>
      <c r="D1652" s="1" t="s">
        <v>324</v>
      </c>
      <c r="E1652" s="1" t="s">
        <v>324</v>
      </c>
      <c r="F1652" s="1" t="s">
        <v>324</v>
      </c>
      <c r="G1652" s="1" t="s">
        <v>324</v>
      </c>
    </row>
    <row r="1653" spans="1:7" x14ac:dyDescent="0.25">
      <c r="A1653" s="1" t="s">
        <v>1868</v>
      </c>
      <c r="B1653" s="2" t="str">
        <f>HYPERLINK("https://www.elsevier.com/locate/issn/0304-3886", "Journal of Electrostatics")</f>
        <v>Journal of Electrostatics</v>
      </c>
      <c r="C1653" s="1" t="s">
        <v>10</v>
      </c>
      <c r="D1653" s="1">
        <v>2780</v>
      </c>
      <c r="E1653" s="1">
        <v>2600</v>
      </c>
      <c r="F1653" s="1">
        <v>2230</v>
      </c>
      <c r="G1653" s="1">
        <v>344800</v>
      </c>
    </row>
    <row r="1654" spans="1:7" x14ac:dyDescent="0.25">
      <c r="A1654" s="1" t="s">
        <v>1869</v>
      </c>
      <c r="B1654" s="2" t="str">
        <f>HYPERLINK("https://www.elsevier.com/locate/issn/0099-1767", "Journal of Emergency Nursing")</f>
        <v>Journal of Emergency Nursing</v>
      </c>
      <c r="C1654" s="1" t="s">
        <v>10</v>
      </c>
      <c r="D1654" s="1">
        <v>2500</v>
      </c>
      <c r="E1654" s="1">
        <v>2340</v>
      </c>
      <c r="F1654" s="1">
        <v>2000</v>
      </c>
      <c r="G1654" s="1">
        <v>310080</v>
      </c>
    </row>
    <row r="1655" spans="1:7" x14ac:dyDescent="0.25">
      <c r="A1655" s="1" t="s">
        <v>1870</v>
      </c>
      <c r="B1655" s="2" t="str">
        <f>HYPERLINK("https://www.elsevier.com/locate/issn/0927-5398", "Journal of Empirical Finance")</f>
        <v>Journal of Empirical Finance</v>
      </c>
      <c r="C1655" s="1" t="s">
        <v>10</v>
      </c>
      <c r="D1655" s="1">
        <v>2940</v>
      </c>
      <c r="E1655" s="1">
        <v>2750</v>
      </c>
      <c r="F1655" s="1">
        <v>2350</v>
      </c>
      <c r="G1655" s="1">
        <v>364650</v>
      </c>
    </row>
    <row r="1656" spans="1:7" x14ac:dyDescent="0.25">
      <c r="A1656" s="1" t="s">
        <v>1871</v>
      </c>
      <c r="B1656" s="2" t="str">
        <f>HYPERLINK("https://www.elsevier.com/locate/issn/0099-2399", "Journal of Endodontics")</f>
        <v>Journal of Endodontics</v>
      </c>
      <c r="C1656" s="1" t="s">
        <v>10</v>
      </c>
      <c r="D1656" s="1">
        <v>4430</v>
      </c>
      <c r="E1656" s="1">
        <v>4140</v>
      </c>
      <c r="F1656" s="1">
        <v>3550</v>
      </c>
      <c r="G1656" s="1">
        <v>549450</v>
      </c>
    </row>
    <row r="1657" spans="1:7" x14ac:dyDescent="0.25">
      <c r="A1657" s="1" t="s">
        <v>1872</v>
      </c>
      <c r="B1657" s="2" t="str">
        <f>HYPERLINK("https://www.elsevier.com/locate/issn/2949-8384", "Journal of Endometriosis and Uterine Disorders")</f>
        <v>Journal of Endometriosis and Uterine Disorders</v>
      </c>
      <c r="C1657" s="1" t="s">
        <v>23</v>
      </c>
      <c r="D1657" s="1">
        <v>1530</v>
      </c>
      <c r="E1657" s="1">
        <v>1430</v>
      </c>
      <c r="F1657" s="1">
        <v>1230</v>
      </c>
      <c r="G1657" s="1">
        <v>189770</v>
      </c>
    </row>
    <row r="1658" spans="1:7" x14ac:dyDescent="0.25">
      <c r="A1658" s="1" t="s">
        <v>1873</v>
      </c>
      <c r="B1658" s="2" t="str">
        <f>HYPERLINK("https://www.elsevier.com/locate/issn/2095-4956", "Journal of Energy Chemistry")</f>
        <v>Journal of Energy Chemistry</v>
      </c>
      <c r="C1658" s="1" t="s">
        <v>10</v>
      </c>
      <c r="D1658" s="1">
        <v>3750</v>
      </c>
      <c r="E1658" s="1">
        <v>3510</v>
      </c>
      <c r="F1658" s="1">
        <v>3000</v>
      </c>
      <c r="G1658" s="1">
        <v>465110</v>
      </c>
    </row>
    <row r="1659" spans="1:7" x14ac:dyDescent="0.25">
      <c r="A1659" s="1" t="s">
        <v>1874</v>
      </c>
      <c r="B1659" s="2" t="str">
        <f>HYPERLINK("https://www.elsevier.com/locate/issn/3051-097X", "Journal of Energy Infrastructure")</f>
        <v>Journal of Energy Infrastructure</v>
      </c>
      <c r="C1659" s="1" t="s">
        <v>34</v>
      </c>
      <c r="D1659" s="1" t="s">
        <v>324</v>
      </c>
      <c r="E1659" s="1" t="s">
        <v>324</v>
      </c>
      <c r="F1659" s="1" t="s">
        <v>324</v>
      </c>
      <c r="G1659" s="1" t="s">
        <v>324</v>
      </c>
    </row>
    <row r="1660" spans="1:7" x14ac:dyDescent="0.25">
      <c r="A1660" s="1" t="s">
        <v>1875</v>
      </c>
      <c r="B1660" s="2" t="str">
        <f>HYPERLINK("https://www.elsevier.com/locate/issn/2352-152X", "Journal of Energy Storage")</f>
        <v>Journal of Energy Storage</v>
      </c>
      <c r="C1660" s="1" t="s">
        <v>10</v>
      </c>
      <c r="D1660" s="1">
        <v>3560</v>
      </c>
      <c r="E1660" s="1">
        <v>3330</v>
      </c>
      <c r="F1660" s="1">
        <v>2850</v>
      </c>
      <c r="G1660" s="1">
        <v>441550</v>
      </c>
    </row>
    <row r="1661" spans="1:7" x14ac:dyDescent="0.25">
      <c r="A1661" s="1" t="s">
        <v>1876</v>
      </c>
      <c r="B1661" s="2" t="str">
        <f>HYPERLINK("https://www.elsevier.com/locate/issn/0923-4748", "Journal of Engineering and Technology Management")</f>
        <v>Journal of Engineering and Technology Management</v>
      </c>
      <c r="C1661" s="1" t="s">
        <v>10</v>
      </c>
      <c r="D1661" s="1">
        <v>2630</v>
      </c>
      <c r="E1661" s="1">
        <v>2460</v>
      </c>
      <c r="F1661" s="1">
        <v>2110</v>
      </c>
      <c r="G1661" s="1">
        <v>326200</v>
      </c>
    </row>
    <row r="1662" spans="1:7" x14ac:dyDescent="0.25">
      <c r="A1662" s="1" t="s">
        <v>1877</v>
      </c>
      <c r="B1662" s="2" t="str">
        <f>HYPERLINK("https://www.elsevier.com/locate/issn/2307-1877", "Journal of Engineering Research")</f>
        <v>Journal of Engineering Research</v>
      </c>
      <c r="C1662" s="1" t="s">
        <v>23</v>
      </c>
      <c r="D1662" s="1">
        <v>1100</v>
      </c>
      <c r="E1662" s="1">
        <v>1030</v>
      </c>
      <c r="F1662" s="1">
        <v>880</v>
      </c>
      <c r="G1662" s="1">
        <v>136430</v>
      </c>
    </row>
    <row r="1663" spans="1:7" x14ac:dyDescent="0.25">
      <c r="A1663" s="1" t="s">
        <v>1878</v>
      </c>
      <c r="B1663" s="2" t="str">
        <f>HYPERLINK("https://www.elsevier.com/locate/issn/1475-1585", "Journal of English for Academic Purposes")</f>
        <v>Journal of English for Academic Purposes</v>
      </c>
      <c r="C1663" s="1" t="s">
        <v>10</v>
      </c>
      <c r="D1663" s="1">
        <v>3730</v>
      </c>
      <c r="E1663" s="1">
        <v>3490</v>
      </c>
      <c r="F1663" s="1">
        <v>2990</v>
      </c>
      <c r="G1663" s="1">
        <v>462630</v>
      </c>
    </row>
    <row r="1664" spans="1:7" x14ac:dyDescent="0.25">
      <c r="A1664" s="1" t="s">
        <v>1879</v>
      </c>
      <c r="B1664" s="2" t="str">
        <f>HYPERLINK("https://www.elsevier.com/locate/issn/2213-3437", "Journal of Environmental Chemical Engineering")</f>
        <v>Journal of Environmental Chemical Engineering</v>
      </c>
      <c r="C1664" s="1" t="s">
        <v>10</v>
      </c>
      <c r="D1664" s="1">
        <v>3350</v>
      </c>
      <c r="E1664" s="1">
        <v>3130</v>
      </c>
      <c r="F1664" s="1">
        <v>2680</v>
      </c>
      <c r="G1664" s="1">
        <v>415500</v>
      </c>
    </row>
    <row r="1665" spans="1:7" x14ac:dyDescent="0.25">
      <c r="A1665" s="1" t="s">
        <v>1880</v>
      </c>
      <c r="B1665" s="2" t="str">
        <f>HYPERLINK("https://www.elsevier.com/locate/issn/0095-0696", "Journal of Environmental Economics and Management")</f>
        <v>Journal of Environmental Economics and Management</v>
      </c>
      <c r="C1665" s="1" t="s">
        <v>10</v>
      </c>
      <c r="D1665" s="1">
        <v>3620</v>
      </c>
      <c r="E1665" s="1">
        <v>3390</v>
      </c>
      <c r="F1665" s="1">
        <v>2900</v>
      </c>
      <c r="G1665" s="1">
        <v>448990</v>
      </c>
    </row>
    <row r="1666" spans="1:7" x14ac:dyDescent="0.25">
      <c r="A1666" s="1" t="s">
        <v>1881</v>
      </c>
      <c r="B1666" s="2" t="str">
        <f>HYPERLINK("https://www.elsevier.com/locate/issn/0301-4797", "Journal of Environmental Management")</f>
        <v>Journal of Environmental Management</v>
      </c>
      <c r="C1666" s="1" t="s">
        <v>10</v>
      </c>
      <c r="D1666" s="1">
        <v>3750</v>
      </c>
      <c r="E1666" s="1">
        <v>3510</v>
      </c>
      <c r="F1666" s="1">
        <v>3000</v>
      </c>
      <c r="G1666" s="1">
        <v>465110</v>
      </c>
    </row>
    <row r="1667" spans="1:7" x14ac:dyDescent="0.25">
      <c r="A1667" s="1" t="s">
        <v>1882</v>
      </c>
      <c r="B1667" s="2" t="str">
        <f>HYPERLINK("https://www.elsevier.com/locate/issn/0272-4944", "Journal of Environmental Psychology")</f>
        <v>Journal of Environmental Psychology</v>
      </c>
      <c r="C1667" s="1" t="s">
        <v>10</v>
      </c>
      <c r="D1667" s="1">
        <v>4380</v>
      </c>
      <c r="E1667" s="1">
        <v>4100</v>
      </c>
      <c r="F1667" s="1">
        <v>3510</v>
      </c>
      <c r="G1667" s="1">
        <v>543250</v>
      </c>
    </row>
    <row r="1668" spans="1:7" x14ac:dyDescent="0.25">
      <c r="A1668" s="1" t="s">
        <v>1883</v>
      </c>
      <c r="B1668" s="2" t="str">
        <f>HYPERLINK("https://www.elsevier.com/locate/issn/0265-931X", "Journal of Environmental Radioactivity")</f>
        <v>Journal of Environmental Radioactivity</v>
      </c>
      <c r="C1668" s="1" t="s">
        <v>10</v>
      </c>
      <c r="D1668" s="1">
        <v>3800</v>
      </c>
      <c r="E1668" s="1">
        <v>3550</v>
      </c>
      <c r="F1668" s="1">
        <v>3040</v>
      </c>
      <c r="G1668" s="1">
        <v>471310</v>
      </c>
    </row>
    <row r="1669" spans="1:7" x14ac:dyDescent="0.25">
      <c r="A1669" s="1" t="s">
        <v>1884</v>
      </c>
      <c r="B1669" s="2" t="str">
        <f>HYPERLINK("https://www.elsevier.com/locate/issn/1001-0742", "Journal of Environmental Sciences")</f>
        <v>Journal of Environmental Sciences</v>
      </c>
      <c r="C1669" s="1" t="s">
        <v>10</v>
      </c>
      <c r="D1669" s="1">
        <v>3000</v>
      </c>
      <c r="E1669" s="1">
        <v>2810</v>
      </c>
      <c r="F1669" s="1">
        <v>2400</v>
      </c>
      <c r="G1669" s="1">
        <v>372090</v>
      </c>
    </row>
    <row r="1670" spans="1:7" x14ac:dyDescent="0.25">
      <c r="A1670" s="1" t="s">
        <v>1885</v>
      </c>
      <c r="B1670" s="2" t="str">
        <f>HYPERLINK("https://www.elsevier.com/locate/issn/2950-4333", "Journal of Epidemiology and Population Health")</f>
        <v>Journal of Epidemiology and Population Health</v>
      </c>
      <c r="C1670" s="1" t="s">
        <v>10</v>
      </c>
      <c r="D1670" s="1">
        <v>2080</v>
      </c>
      <c r="E1670" s="1">
        <v>1900</v>
      </c>
      <c r="F1670" s="1">
        <v>1670</v>
      </c>
      <c r="G1670" s="1">
        <v>257980</v>
      </c>
    </row>
    <row r="1671" spans="1:7" x14ac:dyDescent="0.25">
      <c r="A1671" s="1" t="s">
        <v>1886</v>
      </c>
      <c r="B1671" s="2" t="str">
        <f>HYPERLINK("https://www.elsevier.com/locate/issn/2949-9054", "Journal of Equine Rehabilitation")</f>
        <v>Journal of Equine Rehabilitation</v>
      </c>
      <c r="C1671" s="1" t="s">
        <v>23</v>
      </c>
      <c r="D1671" s="1">
        <v>2050</v>
      </c>
      <c r="E1671" s="1">
        <v>1920</v>
      </c>
      <c r="F1671" s="1">
        <v>1640</v>
      </c>
      <c r="G1671" s="1">
        <v>254260</v>
      </c>
    </row>
    <row r="1672" spans="1:7" x14ac:dyDescent="0.25">
      <c r="A1672" s="1" t="s">
        <v>1887</v>
      </c>
      <c r="B1672" s="2" t="str">
        <f>HYPERLINK("https://www.elsevier.com/locate/issn/0737-0806", "Journal of Equine Veterinary Science")</f>
        <v>Journal of Equine Veterinary Science</v>
      </c>
      <c r="C1672" s="1" t="s">
        <v>10</v>
      </c>
      <c r="D1672" s="1">
        <v>3210</v>
      </c>
      <c r="E1672" s="1">
        <v>3000</v>
      </c>
      <c r="F1672" s="1">
        <v>2570</v>
      </c>
      <c r="G1672" s="1">
        <v>398140</v>
      </c>
    </row>
    <row r="1673" spans="1:7" x14ac:dyDescent="0.25">
      <c r="A1673" s="1" t="s">
        <v>1888</v>
      </c>
      <c r="B1673" s="2" t="str">
        <f>HYPERLINK("https://www.elsevier.com/locate/issn/0378-8741", "Journal of Ethnopharmacology")</f>
        <v>Journal of Ethnopharmacology</v>
      </c>
      <c r="C1673" s="1" t="s">
        <v>10</v>
      </c>
      <c r="D1673" s="1">
        <v>3740</v>
      </c>
      <c r="E1673" s="1">
        <v>3500</v>
      </c>
      <c r="F1673" s="1">
        <v>2990</v>
      </c>
      <c r="G1673" s="1">
        <v>463870</v>
      </c>
    </row>
    <row r="1674" spans="1:7" x14ac:dyDescent="0.25">
      <c r="A1674" s="1" t="s">
        <v>1889</v>
      </c>
      <c r="B1674" s="2" t="str">
        <f>HYPERLINK("https://www.elsevier.com/locate/issn/1532-3382", "Journal of Evidence Based Dental Practice")</f>
        <v>Journal of Evidence Based Dental Practice</v>
      </c>
      <c r="C1674" s="1" t="s">
        <v>10</v>
      </c>
      <c r="D1674" s="1">
        <v>4030</v>
      </c>
      <c r="E1674" s="1">
        <v>3770</v>
      </c>
      <c r="F1674" s="1">
        <v>3230</v>
      </c>
      <c r="G1674" s="1">
        <v>499840</v>
      </c>
    </row>
    <row r="1675" spans="1:7" x14ac:dyDescent="0.25">
      <c r="A1675" s="1" t="s">
        <v>1890</v>
      </c>
      <c r="B1675" s="2" t="str">
        <f>HYPERLINK("https://www.elsevier.com/locate/issn/1728-869X", "Journal of Exercise Science &amp; Fitness")</f>
        <v>Journal of Exercise Science &amp; Fitness</v>
      </c>
      <c r="C1675" s="1" t="s">
        <v>23</v>
      </c>
      <c r="D1675" s="1">
        <v>1150</v>
      </c>
      <c r="E1675" s="1">
        <v>1080</v>
      </c>
      <c r="F1675" s="1">
        <v>920</v>
      </c>
      <c r="G1675" s="1">
        <v>142630</v>
      </c>
    </row>
    <row r="1676" spans="1:7" x14ac:dyDescent="0.25">
      <c r="A1676" s="1" t="s">
        <v>1891</v>
      </c>
      <c r="B1676" s="2" t="str">
        <f>HYPERLINK("https://www.elsevier.com/locate/issn/1557-5063", "Journal of Exotic Pet Medicine")</f>
        <v>Journal of Exotic Pet Medicine</v>
      </c>
      <c r="C1676" s="1" t="s">
        <v>10</v>
      </c>
      <c r="D1676" s="1">
        <v>3620</v>
      </c>
      <c r="E1676" s="1">
        <v>3390</v>
      </c>
      <c r="F1676" s="1">
        <v>2900</v>
      </c>
      <c r="G1676" s="1">
        <v>448990</v>
      </c>
    </row>
    <row r="1677" spans="1:7" x14ac:dyDescent="0.25">
      <c r="A1677" s="1" t="s">
        <v>1892</v>
      </c>
      <c r="B1677" s="2" t="str">
        <f>HYPERLINK("https://www.elsevier.com/locate/issn/0022-0965", "Journal of Experimental Child Psychology")</f>
        <v>Journal of Experimental Child Psychology</v>
      </c>
      <c r="C1677" s="1" t="s">
        <v>10</v>
      </c>
      <c r="D1677" s="1">
        <v>3500</v>
      </c>
      <c r="E1677" s="1">
        <v>3270</v>
      </c>
      <c r="F1677" s="1">
        <v>2800</v>
      </c>
      <c r="G1677" s="1">
        <v>434110</v>
      </c>
    </row>
    <row r="1678" spans="1:7" x14ac:dyDescent="0.25">
      <c r="A1678" s="1" t="s">
        <v>1893</v>
      </c>
      <c r="B1678" s="2" t="str">
        <f>HYPERLINK("https://www.elsevier.com/locate/issn/3051-1186", "Journal of Experimental Horticulture")</f>
        <v>Journal of Experimental Horticulture</v>
      </c>
      <c r="C1678" s="1" t="s">
        <v>10</v>
      </c>
      <c r="D1678" s="1">
        <v>3000</v>
      </c>
      <c r="E1678" s="1">
        <v>2810</v>
      </c>
      <c r="F1678" s="1">
        <v>2400</v>
      </c>
      <c r="G1678" s="1">
        <v>372090</v>
      </c>
    </row>
    <row r="1679" spans="1:7" x14ac:dyDescent="0.25">
      <c r="A1679" s="1" t="s">
        <v>1894</v>
      </c>
      <c r="B1679" s="2" t="str">
        <f>HYPERLINK("https://www.elsevier.com/locate/issn/0022-0981", "Journal of Experimental Marine Biology and Ecology")</f>
        <v>Journal of Experimental Marine Biology and Ecology</v>
      </c>
      <c r="C1679" s="1" t="s">
        <v>10</v>
      </c>
      <c r="D1679" s="1">
        <v>3270</v>
      </c>
      <c r="E1679" s="1">
        <v>3060</v>
      </c>
      <c r="F1679" s="1">
        <v>2620</v>
      </c>
      <c r="G1679" s="1">
        <v>405580</v>
      </c>
    </row>
    <row r="1680" spans="1:7" x14ac:dyDescent="0.25">
      <c r="A1680" s="1" t="s">
        <v>1895</v>
      </c>
      <c r="B1680" s="2" t="str">
        <f>HYPERLINK("https://www.elsevier.com/locate/issn/0022-1031", "Journal of Experimental Social Psychology")</f>
        <v>Journal of Experimental Social Psychology</v>
      </c>
      <c r="C1680" s="1" t="s">
        <v>10</v>
      </c>
      <c r="D1680" s="1">
        <v>3220</v>
      </c>
      <c r="E1680" s="1">
        <v>3010</v>
      </c>
      <c r="F1680" s="1">
        <v>2580</v>
      </c>
      <c r="G1680" s="1">
        <v>399380</v>
      </c>
    </row>
    <row r="1681" spans="1:7" x14ac:dyDescent="0.25">
      <c r="A1681" s="1" t="s">
        <v>1896</v>
      </c>
      <c r="B1681" s="2" t="str">
        <f>HYPERLINK("https://www.elsevier.com/locate/issn/1877-8585", "Journal of Family Business Strategy")</f>
        <v>Journal of Family Business Strategy</v>
      </c>
      <c r="C1681" s="1" t="s">
        <v>10</v>
      </c>
      <c r="D1681" s="1">
        <v>3730</v>
      </c>
      <c r="E1681" s="1">
        <v>3490</v>
      </c>
      <c r="F1681" s="1">
        <v>2990</v>
      </c>
      <c r="G1681" s="1">
        <v>462630</v>
      </c>
    </row>
    <row r="1682" spans="1:7" x14ac:dyDescent="0.25">
      <c r="A1682" s="1" t="s">
        <v>1897</v>
      </c>
      <c r="B1682" s="2" t="str">
        <f>HYPERLINK("https://www.elsevier.com/locate/issn/0304-405X", "Journal of Financial Economics")</f>
        <v>Journal of Financial Economics</v>
      </c>
      <c r="C1682" s="1" t="s">
        <v>10</v>
      </c>
      <c r="D1682" s="1">
        <v>4740</v>
      </c>
      <c r="E1682" s="1">
        <v>4430</v>
      </c>
      <c r="F1682" s="1">
        <v>3790</v>
      </c>
      <c r="G1682" s="1">
        <v>587900</v>
      </c>
    </row>
    <row r="1683" spans="1:7" x14ac:dyDescent="0.25">
      <c r="A1683" s="1" t="s">
        <v>1898</v>
      </c>
      <c r="B1683" s="2" t="str">
        <f>HYPERLINK("https://www.elsevier.com/locate/issn/1042-9573", "Journal of Financial Intermediation")</f>
        <v>Journal of Financial Intermediation</v>
      </c>
      <c r="C1683" s="1" t="s">
        <v>10</v>
      </c>
      <c r="D1683" s="1">
        <v>3960</v>
      </c>
      <c r="E1683" s="1">
        <v>3700</v>
      </c>
      <c r="F1683" s="1">
        <v>3170</v>
      </c>
      <c r="G1683" s="1">
        <v>491160</v>
      </c>
    </row>
    <row r="1684" spans="1:7" x14ac:dyDescent="0.25">
      <c r="A1684" s="1" t="s">
        <v>1899</v>
      </c>
      <c r="B1684" s="2" t="str">
        <f>HYPERLINK("https://www.elsevier.com/locate/issn/1386-4181", "Journal of Financial Markets")</f>
        <v>Journal of Financial Markets</v>
      </c>
      <c r="C1684" s="1" t="s">
        <v>10</v>
      </c>
      <c r="D1684" s="1">
        <v>2950</v>
      </c>
      <c r="E1684" s="1">
        <v>2760</v>
      </c>
      <c r="F1684" s="1">
        <v>2360</v>
      </c>
      <c r="G1684" s="1">
        <v>365890</v>
      </c>
    </row>
    <row r="1685" spans="1:7" x14ac:dyDescent="0.25">
      <c r="A1685" s="1" t="s">
        <v>1900</v>
      </c>
      <c r="B1685" s="2" t="str">
        <f>HYPERLINK("https://www.elsevier.com/locate/issn/1572-3089", "Journal of Financial Stability")</f>
        <v>Journal of Financial Stability</v>
      </c>
      <c r="C1685" s="1" t="s">
        <v>10</v>
      </c>
      <c r="D1685" s="1">
        <v>3470</v>
      </c>
      <c r="E1685" s="1">
        <v>3250</v>
      </c>
      <c r="F1685" s="1">
        <v>2780</v>
      </c>
      <c r="G1685" s="1">
        <v>430380</v>
      </c>
    </row>
    <row r="1686" spans="1:7" x14ac:dyDescent="0.25">
      <c r="A1686" s="1" t="s">
        <v>1901</v>
      </c>
      <c r="B1686" s="2" t="str">
        <f>HYPERLINK("https://www.elsevier.com/locate/issn/0094-730X", "Journal of Fluency Disorders")</f>
        <v>Journal of Fluency Disorders</v>
      </c>
      <c r="C1686" s="1" t="s">
        <v>10</v>
      </c>
      <c r="D1686" s="1">
        <v>4190</v>
      </c>
      <c r="E1686" s="1">
        <v>3920</v>
      </c>
      <c r="F1686" s="1">
        <v>3350</v>
      </c>
      <c r="G1686" s="1">
        <v>519690</v>
      </c>
    </row>
    <row r="1687" spans="1:7" x14ac:dyDescent="0.25">
      <c r="A1687" s="1" t="s">
        <v>1902</v>
      </c>
      <c r="B1687" s="2" t="str">
        <f>HYPERLINK("https://www.elsevier.com/locate/issn/0889-9746", "Journal of Fluids and Structures")</f>
        <v>Journal of Fluids and Structures</v>
      </c>
      <c r="C1687" s="1" t="s">
        <v>10</v>
      </c>
      <c r="D1687" s="1">
        <v>3740</v>
      </c>
      <c r="E1687" s="1">
        <v>3500</v>
      </c>
      <c r="F1687" s="1">
        <v>2990</v>
      </c>
      <c r="G1687" s="1">
        <v>463870</v>
      </c>
    </row>
    <row r="1688" spans="1:7" x14ac:dyDescent="0.25">
      <c r="A1688" s="1" t="s">
        <v>1903</v>
      </c>
      <c r="B1688" s="2" t="str">
        <f>HYPERLINK("https://www.elsevier.com/locate/issn/0022-1139", "Journal of Fluorine Chemistry")</f>
        <v>Journal of Fluorine Chemistry</v>
      </c>
      <c r="C1688" s="1" t="s">
        <v>10</v>
      </c>
      <c r="D1688" s="1">
        <v>3660</v>
      </c>
      <c r="E1688" s="1">
        <v>3420</v>
      </c>
      <c r="F1688" s="1">
        <v>2930</v>
      </c>
      <c r="G1688" s="1">
        <v>453950</v>
      </c>
    </row>
    <row r="1689" spans="1:7" x14ac:dyDescent="0.25">
      <c r="A1689" s="1" t="s">
        <v>1904</v>
      </c>
      <c r="B1689" s="2" t="str">
        <f>HYPERLINK("https://www.elsevier.com/locate/issn/0889-1575", "Journal of Food Composition and Analysis")</f>
        <v>Journal of Food Composition and Analysis</v>
      </c>
      <c r="C1689" s="1" t="s">
        <v>10</v>
      </c>
      <c r="D1689" s="1">
        <v>3450</v>
      </c>
      <c r="E1689" s="1">
        <v>3230</v>
      </c>
      <c r="F1689" s="1">
        <v>2760</v>
      </c>
      <c r="G1689" s="1">
        <v>427900</v>
      </c>
    </row>
    <row r="1690" spans="1:7" x14ac:dyDescent="0.25">
      <c r="A1690" s="1" t="s">
        <v>1905</v>
      </c>
      <c r="B1690" s="2" t="str">
        <f>HYPERLINK("https://www.elsevier.com/locate/issn/0260-8774", "Journal of Food Engineering")</f>
        <v>Journal of Food Engineering</v>
      </c>
      <c r="C1690" s="1" t="s">
        <v>10</v>
      </c>
      <c r="D1690" s="1">
        <v>4350</v>
      </c>
      <c r="E1690" s="1">
        <v>4070</v>
      </c>
      <c r="F1690" s="1">
        <v>3480</v>
      </c>
      <c r="G1690" s="1">
        <v>539530</v>
      </c>
    </row>
    <row r="1691" spans="1:7" x14ac:dyDescent="0.25">
      <c r="A1691" s="1" t="s">
        <v>1906</v>
      </c>
      <c r="B1691" s="2" t="str">
        <f>HYPERLINK("https://www.elsevier.com/locate/issn/0362-028X", "Journal of Food Protection")</f>
        <v>Journal of Food Protection</v>
      </c>
      <c r="C1691" s="1" t="s">
        <v>23</v>
      </c>
      <c r="D1691" s="1">
        <v>2300</v>
      </c>
      <c r="E1691" s="1">
        <v>2150</v>
      </c>
      <c r="F1691" s="1">
        <v>1840</v>
      </c>
      <c r="G1691" s="1">
        <v>285270</v>
      </c>
    </row>
    <row r="1692" spans="1:7" x14ac:dyDescent="0.25">
      <c r="A1692" s="1" t="s">
        <v>1907</v>
      </c>
      <c r="B1692" s="2" t="str">
        <f>HYPERLINK("https://www.elsevier.com/locate/issn/1752-928X", "Journal of Forensic and Legal Medicine")</f>
        <v>Journal of Forensic and Legal Medicine</v>
      </c>
      <c r="C1692" s="1" t="s">
        <v>10</v>
      </c>
      <c r="D1692" s="1">
        <v>3870</v>
      </c>
      <c r="E1692" s="1">
        <v>3620</v>
      </c>
      <c r="F1692" s="1">
        <v>3100</v>
      </c>
      <c r="G1692" s="1">
        <v>480000</v>
      </c>
    </row>
    <row r="1693" spans="1:7" x14ac:dyDescent="0.25">
      <c r="A1693" s="1" t="s">
        <v>1908</v>
      </c>
      <c r="B1693" s="2" t="str">
        <f>HYPERLINK("https://www.elsevier.com/locate/issn/0022-1236", "Journal of Functional Analysis")</f>
        <v>Journal of Functional Analysis</v>
      </c>
      <c r="C1693" s="1" t="s">
        <v>10</v>
      </c>
      <c r="D1693" s="1">
        <v>3250</v>
      </c>
      <c r="E1693" s="1">
        <v>3040</v>
      </c>
      <c r="F1693" s="1">
        <v>2600</v>
      </c>
      <c r="G1693" s="1">
        <v>403100</v>
      </c>
    </row>
    <row r="1694" spans="1:7" x14ac:dyDescent="0.25">
      <c r="A1694" s="1" t="s">
        <v>1909</v>
      </c>
      <c r="B1694" s="2" t="str">
        <f>HYPERLINK("https://www.elsevier.com/locate/issn/1756-4646", "Journal of Functional Foods")</f>
        <v>Journal of Functional Foods</v>
      </c>
      <c r="C1694" s="1" t="s">
        <v>23</v>
      </c>
      <c r="D1694" s="1">
        <v>2800</v>
      </c>
      <c r="E1694" s="1">
        <v>2620</v>
      </c>
      <c r="F1694" s="1">
        <v>2240</v>
      </c>
      <c r="G1694" s="1">
        <v>347280</v>
      </c>
    </row>
    <row r="1695" spans="1:7" x14ac:dyDescent="0.25">
      <c r="A1695" s="1" t="s">
        <v>1910</v>
      </c>
      <c r="B1695" s="2" t="str">
        <f>HYPERLINK("https://www.elsevier.com/locate/issn/2772-5669", "Journal of Future Foods")</f>
        <v>Journal of Future Foods</v>
      </c>
      <c r="C1695" s="1" t="s">
        <v>34</v>
      </c>
      <c r="D1695" s="1" t="s">
        <v>324</v>
      </c>
      <c r="E1695" s="1" t="s">
        <v>324</v>
      </c>
      <c r="F1695" s="1" t="s">
        <v>324</v>
      </c>
      <c r="G1695" s="1" t="s">
        <v>324</v>
      </c>
    </row>
    <row r="1696" spans="1:7" x14ac:dyDescent="0.25">
      <c r="A1696" s="1" t="s">
        <v>1911</v>
      </c>
      <c r="B1696" s="2" t="str">
        <f>HYPERLINK("https://www.elsevier.com/locate/issn/1673-8527", "Journal of Genetics and Genomics")</f>
        <v>Journal of Genetics and Genomics</v>
      </c>
      <c r="C1696" s="1" t="s">
        <v>10</v>
      </c>
      <c r="D1696" s="1">
        <v>3140</v>
      </c>
      <c r="E1696" s="1">
        <v>2940</v>
      </c>
      <c r="F1696" s="1">
        <v>2510</v>
      </c>
      <c r="G1696" s="1">
        <v>389450</v>
      </c>
    </row>
    <row r="1697" spans="1:7" x14ac:dyDescent="0.25">
      <c r="A1697" s="1" t="s">
        <v>1912</v>
      </c>
      <c r="B1697" s="2" t="str">
        <f>HYPERLINK("https://www.elsevier.com/locate/issn/0375-6742", "Journal of Geochemical Exploration")</f>
        <v>Journal of Geochemical Exploration</v>
      </c>
      <c r="C1697" s="1" t="s">
        <v>10</v>
      </c>
      <c r="D1697" s="1">
        <v>3570</v>
      </c>
      <c r="E1697" s="1">
        <v>3340</v>
      </c>
      <c r="F1697" s="1">
        <v>2860</v>
      </c>
      <c r="G1697" s="1">
        <v>442790</v>
      </c>
    </row>
    <row r="1698" spans="1:7" x14ac:dyDescent="0.25">
      <c r="A1698" s="1" t="s">
        <v>1913</v>
      </c>
      <c r="B1698" s="2" t="str">
        <f>HYPERLINK("https://www.elsevier.com/locate/issn/0264-3707", "Journal of Geodynamics")</f>
        <v>Journal of Geodynamics</v>
      </c>
      <c r="C1698" s="1" t="s">
        <v>10</v>
      </c>
      <c r="D1698" s="1">
        <v>3470</v>
      </c>
      <c r="E1698" s="1">
        <v>3250</v>
      </c>
      <c r="F1698" s="1">
        <v>2780</v>
      </c>
      <c r="G1698" s="1">
        <v>430380</v>
      </c>
    </row>
    <row r="1699" spans="1:7" x14ac:dyDescent="0.25">
      <c r="A1699" s="1" t="s">
        <v>1914</v>
      </c>
      <c r="B1699" s="2" t="str">
        <f>HYPERLINK("https://www.elsevier.com/locate/issn/0393-0440", "Journal of Geometry and Physics")</f>
        <v>Journal of Geometry and Physics</v>
      </c>
      <c r="C1699" s="1" t="s">
        <v>10</v>
      </c>
      <c r="D1699" s="1">
        <v>3550</v>
      </c>
      <c r="E1699" s="1">
        <v>3320</v>
      </c>
      <c r="F1699" s="1">
        <v>2840</v>
      </c>
      <c r="G1699" s="1">
        <v>440310</v>
      </c>
    </row>
    <row r="1700" spans="1:7" x14ac:dyDescent="0.25">
      <c r="A1700" s="1" t="s">
        <v>1915</v>
      </c>
      <c r="B1700" s="2" t="str">
        <f>HYPERLINK("https://www.elsevier.com/locate/issn/1879-4068", "Journal of Geriatric Oncology")</f>
        <v>Journal of Geriatric Oncology</v>
      </c>
      <c r="C1700" s="1" t="s">
        <v>10</v>
      </c>
      <c r="D1700" s="1">
        <v>3610</v>
      </c>
      <c r="E1700" s="1">
        <v>3380</v>
      </c>
      <c r="F1700" s="1">
        <v>2890</v>
      </c>
      <c r="G1700" s="1">
        <v>447750</v>
      </c>
    </row>
    <row r="1701" spans="1:7" x14ac:dyDescent="0.25">
      <c r="A1701" s="1" t="s">
        <v>1916</v>
      </c>
      <c r="B1701" s="2" t="str">
        <f>HYPERLINK("https://www.elsevier.com/locate/issn/1226-8453", "Journal of Ginseng Research")</f>
        <v>Journal of Ginseng Research</v>
      </c>
      <c r="C1701" s="1" t="s">
        <v>23</v>
      </c>
      <c r="D1701" s="1" t="s">
        <v>324</v>
      </c>
      <c r="E1701" s="1" t="s">
        <v>324</v>
      </c>
      <c r="F1701" s="1" t="s">
        <v>324</v>
      </c>
      <c r="G1701" s="1" t="s">
        <v>324</v>
      </c>
    </row>
    <row r="1702" spans="1:7" x14ac:dyDescent="0.25">
      <c r="A1702" s="1" t="s">
        <v>1917</v>
      </c>
      <c r="B1702" s="2" t="str">
        <f>HYPERLINK("https://www.elsevier.com/locate/issn/2213-7165", "Journal of Global Antimicrobial Resistance")</f>
        <v>Journal of Global Antimicrobial Resistance</v>
      </c>
      <c r="C1702" s="1" t="s">
        <v>23</v>
      </c>
      <c r="D1702" s="1">
        <v>1890</v>
      </c>
      <c r="E1702" s="1">
        <v>1770</v>
      </c>
      <c r="F1702" s="1">
        <v>1510</v>
      </c>
      <c r="G1702" s="1">
        <v>234420</v>
      </c>
    </row>
    <row r="1703" spans="1:7" x14ac:dyDescent="0.25">
      <c r="A1703" s="1" t="s">
        <v>1918</v>
      </c>
      <c r="B1703" s="2" t="str">
        <f>HYPERLINK("https://www.elsevier.com/locate/issn/2667-3193", "Journal of Government and Economics")</f>
        <v>Journal of Government and Economics</v>
      </c>
      <c r="C1703" s="1" t="s">
        <v>23</v>
      </c>
      <c r="D1703" s="1">
        <v>1650</v>
      </c>
      <c r="E1703" s="1">
        <v>1540</v>
      </c>
      <c r="F1703" s="1">
        <v>1320</v>
      </c>
      <c r="G1703" s="1">
        <v>204650</v>
      </c>
    </row>
    <row r="1704" spans="1:7" x14ac:dyDescent="0.25">
      <c r="A1704" s="1" t="s">
        <v>1919</v>
      </c>
      <c r="B1704" s="2" t="str">
        <f>HYPERLINK("https://www.elsevier.com/locate/issn/0380-1330", "Journal of Great Lakes Research")</f>
        <v>Journal of Great Lakes Research</v>
      </c>
      <c r="C1704" s="1" t="s">
        <v>10</v>
      </c>
      <c r="D1704" s="1">
        <v>3200</v>
      </c>
      <c r="E1704" s="1">
        <v>2990</v>
      </c>
      <c r="F1704" s="1">
        <v>2560</v>
      </c>
      <c r="G1704" s="1">
        <v>396900</v>
      </c>
    </row>
    <row r="1705" spans="1:7" x14ac:dyDescent="0.25">
      <c r="A1705" s="1" t="s">
        <v>1920</v>
      </c>
      <c r="B1705" s="2" t="str">
        <f>HYPERLINK("https://www.elsevier.com/locate/issn/2468-7847", "Journal of Gynecology Obstetrics and Human Reproduction")</f>
        <v>Journal of Gynecology Obstetrics and Human Reproduction</v>
      </c>
      <c r="C1705" s="1" t="s">
        <v>10</v>
      </c>
      <c r="D1705" s="1">
        <v>3360</v>
      </c>
      <c r="E1705" s="1">
        <v>3060</v>
      </c>
      <c r="F1705" s="1">
        <v>2690</v>
      </c>
      <c r="G1705" s="1">
        <v>416740</v>
      </c>
    </row>
    <row r="1706" spans="1:7" x14ac:dyDescent="0.25">
      <c r="A1706" s="1" t="s">
        <v>1921</v>
      </c>
      <c r="B1706" s="2" t="str">
        <f>HYPERLINK("https://www.elsevier.com/locate/issn/0974-3227", "Journal of Hand and Microsurgery")</f>
        <v>Journal of Hand and Microsurgery</v>
      </c>
      <c r="C1706" s="1" t="s">
        <v>10</v>
      </c>
      <c r="D1706" s="1">
        <v>2600</v>
      </c>
      <c r="E1706" s="1">
        <v>2430</v>
      </c>
      <c r="F1706" s="1">
        <v>2080</v>
      </c>
      <c r="G1706" s="1">
        <v>322480</v>
      </c>
    </row>
    <row r="1707" spans="1:7" x14ac:dyDescent="0.25">
      <c r="A1707" s="1" t="s">
        <v>1922</v>
      </c>
      <c r="B1707" s="2" t="str">
        <f>HYPERLINK("https://www.elsevier.com/locate/issn/2589-5141", "Journal of Hand Surgery Global Online")</f>
        <v>Journal of Hand Surgery Global Online</v>
      </c>
      <c r="C1707" s="1" t="s">
        <v>23</v>
      </c>
      <c r="D1707" s="1">
        <v>2500</v>
      </c>
      <c r="E1707" s="1">
        <v>2340</v>
      </c>
      <c r="F1707" s="1">
        <v>2000</v>
      </c>
      <c r="G1707" s="1">
        <v>310080</v>
      </c>
    </row>
    <row r="1708" spans="1:7" x14ac:dyDescent="0.25">
      <c r="A1708" s="1" t="s">
        <v>1923</v>
      </c>
      <c r="B1708" s="2" t="str">
        <f>HYPERLINK("https://www.elsevier.com/locate/issn/0894-1130", "Journal of Hand Therapy")</f>
        <v>Journal of Hand Therapy</v>
      </c>
      <c r="C1708" s="1" t="s">
        <v>10</v>
      </c>
      <c r="D1708" s="1">
        <v>3670</v>
      </c>
      <c r="E1708" s="1">
        <v>3430</v>
      </c>
      <c r="F1708" s="1">
        <v>2940</v>
      </c>
      <c r="G1708" s="1">
        <v>455190</v>
      </c>
    </row>
    <row r="1709" spans="1:7" x14ac:dyDescent="0.25">
      <c r="A1709" s="1" t="s">
        <v>1924</v>
      </c>
      <c r="B1709" s="2" t="str">
        <f>HYPERLINK("https://www.elsevier.com/locate/issn/0304-3894", "Journal of Hazardous Materials")</f>
        <v>Journal of Hazardous Materials</v>
      </c>
      <c r="C1709" s="1" t="s">
        <v>10</v>
      </c>
      <c r="D1709" s="1">
        <v>4830</v>
      </c>
      <c r="E1709" s="1">
        <v>4520</v>
      </c>
      <c r="F1709" s="1">
        <v>3870</v>
      </c>
      <c r="G1709" s="1">
        <v>599060</v>
      </c>
    </row>
    <row r="1710" spans="1:7" x14ac:dyDescent="0.25">
      <c r="A1710" s="1" t="s">
        <v>1925</v>
      </c>
      <c r="B1710" s="2" t="str">
        <f>HYPERLINK("https://www.elsevier.com/locate/issn/2772-4166", "Journal of Hazardous Materials Advances")</f>
        <v>Journal of Hazardous Materials Advances</v>
      </c>
      <c r="C1710" s="1" t="s">
        <v>23</v>
      </c>
      <c r="D1710" s="1">
        <v>1780</v>
      </c>
      <c r="E1710" s="1">
        <v>1670</v>
      </c>
      <c r="F1710" s="1">
        <v>1430</v>
      </c>
      <c r="G1710" s="1">
        <v>220770</v>
      </c>
    </row>
    <row r="1711" spans="1:7" x14ac:dyDescent="0.25">
      <c r="A1711" s="1" t="s">
        <v>1926</v>
      </c>
      <c r="B1711" s="2" t="str">
        <f>HYPERLINK("https://www.elsevier.com/locate/issn/2666-9110", "Journal of Hazardous Materials Letters")</f>
        <v>Journal of Hazardous Materials Letters</v>
      </c>
      <c r="C1711" s="1" t="s">
        <v>23</v>
      </c>
      <c r="D1711" s="1">
        <v>2080</v>
      </c>
      <c r="E1711" s="1">
        <v>1950</v>
      </c>
      <c r="F1711" s="1">
        <v>1670</v>
      </c>
      <c r="G1711" s="1">
        <v>257980</v>
      </c>
    </row>
    <row r="1712" spans="1:7" x14ac:dyDescent="0.25">
      <c r="A1712" s="1" t="s">
        <v>1927</v>
      </c>
      <c r="B1712" s="2" t="str">
        <f>HYPERLINK("https://www.elsevier.com/locate/issn/3051-0597", "Journal of Hazardous Materials: Organics")</f>
        <v>Journal of Hazardous Materials: Organics</v>
      </c>
      <c r="C1712" s="1" t="s">
        <v>23</v>
      </c>
      <c r="D1712" s="1">
        <v>2500</v>
      </c>
      <c r="E1712" s="1">
        <v>2340</v>
      </c>
      <c r="F1712" s="1">
        <v>2000</v>
      </c>
      <c r="G1712" s="1">
        <v>310080</v>
      </c>
    </row>
    <row r="1713" spans="1:7" x14ac:dyDescent="0.25">
      <c r="A1713" s="1" t="s">
        <v>1928</v>
      </c>
      <c r="B1713" s="2" t="str">
        <f>HYPERLINK("https://www.elsevier.com/locate/issn/3051-0600", "Journal of Hazardous Materials: Plastics")</f>
        <v>Journal of Hazardous Materials: Plastics</v>
      </c>
      <c r="C1713" s="1" t="s">
        <v>23</v>
      </c>
      <c r="D1713" s="1">
        <v>2500</v>
      </c>
      <c r="E1713" s="1">
        <v>2340</v>
      </c>
      <c r="F1713" s="1">
        <v>2000</v>
      </c>
      <c r="G1713" s="1">
        <v>310080</v>
      </c>
    </row>
    <row r="1714" spans="1:7" x14ac:dyDescent="0.25">
      <c r="A1714" s="1" t="s">
        <v>1929</v>
      </c>
      <c r="B1714" s="2" t="str">
        <f>HYPERLINK("https://www.elsevier.com/locate/issn/0167-6296", "Journal of Health Economics")</f>
        <v>Journal of Health Economics</v>
      </c>
      <c r="C1714" s="1" t="s">
        <v>10</v>
      </c>
      <c r="D1714" s="1">
        <v>4260</v>
      </c>
      <c r="E1714" s="1">
        <v>3990</v>
      </c>
      <c r="F1714" s="1">
        <v>3410</v>
      </c>
      <c r="G1714" s="1">
        <v>528370</v>
      </c>
    </row>
    <row r="1715" spans="1:7" x14ac:dyDescent="0.25">
      <c r="A1715" s="1" t="s">
        <v>1930</v>
      </c>
      <c r="B1715" s="2" t="str">
        <f>HYPERLINK("https://www.elsevier.com/locate/issn/0168-8278", "Journal of Hepatology")</f>
        <v>Journal of Hepatology</v>
      </c>
      <c r="C1715" s="1" t="s">
        <v>10</v>
      </c>
      <c r="D1715" s="1">
        <v>5580</v>
      </c>
      <c r="E1715" s="1">
        <v>5220</v>
      </c>
      <c r="F1715" s="1">
        <v>4470</v>
      </c>
      <c r="G1715" s="1">
        <v>692110</v>
      </c>
    </row>
    <row r="1716" spans="1:7" x14ac:dyDescent="0.25">
      <c r="A1716" s="1" t="s">
        <v>1931</v>
      </c>
      <c r="B1716" s="2" t="str">
        <f>HYPERLINK("https://www.elsevier.com/locate/issn/2210-8033", "Journal of Herbal Medicine")</f>
        <v>Journal of Herbal Medicine</v>
      </c>
      <c r="C1716" s="1" t="s">
        <v>10</v>
      </c>
      <c r="D1716" s="1">
        <v>2470</v>
      </c>
      <c r="E1716" s="1">
        <v>2310</v>
      </c>
      <c r="F1716" s="1">
        <v>1980</v>
      </c>
      <c r="G1716" s="1">
        <v>306350</v>
      </c>
    </row>
    <row r="1717" spans="1:7" x14ac:dyDescent="0.25">
      <c r="A1717" s="1" t="s">
        <v>1932</v>
      </c>
      <c r="B1717" s="2" t="str">
        <f>HYPERLINK("https://www.elsevier.com/locate/issn/2214-4048", "Journal of High Energy Astrophysics")</f>
        <v>Journal of High Energy Astrophysics</v>
      </c>
      <c r="C1717" s="1" t="s">
        <v>10</v>
      </c>
      <c r="D1717" s="1">
        <v>2520</v>
      </c>
      <c r="E1717" s="1">
        <v>2360</v>
      </c>
      <c r="F1717" s="1">
        <v>2020</v>
      </c>
      <c r="G1717" s="1">
        <v>312560</v>
      </c>
    </row>
    <row r="1718" spans="1:7" x14ac:dyDescent="0.25">
      <c r="A1718" s="1" t="s">
        <v>1933</v>
      </c>
      <c r="B1718" s="2" t="str">
        <f>HYPERLINK("https://www.elsevier.com/locate/issn/0305-7488", "Journal of Historical Geography")</f>
        <v>Journal of Historical Geography</v>
      </c>
      <c r="C1718" s="1" t="s">
        <v>10</v>
      </c>
      <c r="D1718" s="1">
        <v>2220</v>
      </c>
      <c r="E1718" s="1">
        <v>2080</v>
      </c>
      <c r="F1718" s="1">
        <v>1780</v>
      </c>
      <c r="G1718" s="1">
        <v>275350</v>
      </c>
    </row>
    <row r="1719" spans="1:7" x14ac:dyDescent="0.25">
      <c r="A1719" s="1" t="s">
        <v>1934</v>
      </c>
      <c r="B1719" s="2" t="str">
        <f>HYPERLINK("https://www.elsevier.com/locate/issn/0195-6701", "Journal of Hospital Infection")</f>
        <v>Journal of Hospital Infection</v>
      </c>
      <c r="C1719" s="1" t="s">
        <v>10</v>
      </c>
      <c r="D1719" s="1">
        <v>4000</v>
      </c>
      <c r="E1719" s="1">
        <v>3740</v>
      </c>
      <c r="F1719" s="1">
        <v>3200</v>
      </c>
      <c r="G1719" s="1">
        <v>496120</v>
      </c>
    </row>
    <row r="1720" spans="1:7" x14ac:dyDescent="0.25">
      <c r="A1720" s="1" t="s">
        <v>1935</v>
      </c>
      <c r="B1720" s="2" t="str">
        <f>HYPERLINK("https://www.elsevier.com/locate/issn/1447-6770", "Journal of Hospitality and Tourism Management")</f>
        <v>Journal of Hospitality and Tourism Management</v>
      </c>
      <c r="C1720" s="1" t="s">
        <v>10</v>
      </c>
      <c r="D1720" s="1">
        <v>3400</v>
      </c>
      <c r="E1720" s="1">
        <v>3180</v>
      </c>
      <c r="F1720" s="1">
        <v>2720</v>
      </c>
      <c r="G1720" s="1">
        <v>421700</v>
      </c>
    </row>
    <row r="1721" spans="1:7" x14ac:dyDescent="0.25">
      <c r="A1721" s="1" t="s">
        <v>1936</v>
      </c>
      <c r="B1721" s="2" t="str">
        <f>HYPERLINK("https://www.elsevier.com/locate/issn/1051-1377", "Journal of Housing Economics")</f>
        <v>Journal of Housing Economics</v>
      </c>
      <c r="C1721" s="1" t="s">
        <v>10</v>
      </c>
      <c r="D1721" s="1">
        <v>3490</v>
      </c>
      <c r="E1721" s="1">
        <v>3260</v>
      </c>
      <c r="F1721" s="1">
        <v>2790</v>
      </c>
      <c r="G1721" s="1">
        <v>432860</v>
      </c>
    </row>
    <row r="1722" spans="1:7" x14ac:dyDescent="0.25">
      <c r="A1722" s="1" t="s">
        <v>1937</v>
      </c>
      <c r="B1722" s="2" t="str">
        <f>HYPERLINK("https://www.elsevier.com/locate/issn/0047-2484", "Journal of Human Evolution")</f>
        <v>Journal of Human Evolution</v>
      </c>
      <c r="C1722" s="1" t="s">
        <v>10</v>
      </c>
      <c r="D1722" s="1">
        <v>3990</v>
      </c>
      <c r="E1722" s="1">
        <v>3730</v>
      </c>
      <c r="F1722" s="1">
        <v>3190</v>
      </c>
      <c r="G1722" s="1">
        <v>494880</v>
      </c>
    </row>
    <row r="1723" spans="1:7" x14ac:dyDescent="0.25">
      <c r="A1723" s="1" t="s">
        <v>1938</v>
      </c>
      <c r="B1723" s="2" t="str">
        <f>HYPERLINK("https://www.elsevier.com/locate/issn/1570-6443", "Journal of Hydro-environment Research")</f>
        <v>Journal of Hydro-environment Research</v>
      </c>
      <c r="C1723" s="1" t="s">
        <v>10</v>
      </c>
      <c r="D1723" s="1">
        <v>3000</v>
      </c>
      <c r="E1723" s="1">
        <v>2810</v>
      </c>
      <c r="F1723" s="1">
        <v>2400</v>
      </c>
      <c r="G1723" s="1">
        <v>372090</v>
      </c>
    </row>
    <row r="1724" spans="1:7" x14ac:dyDescent="0.25">
      <c r="A1724" s="1" t="s">
        <v>1939</v>
      </c>
      <c r="B1724" s="2" t="str">
        <f>HYPERLINK("https://www.elsevier.com/locate/issn/0022-1694", "Journal of Hydrology")</f>
        <v>Journal of Hydrology</v>
      </c>
      <c r="C1724" s="1" t="s">
        <v>10</v>
      </c>
      <c r="D1724" s="1">
        <v>4030</v>
      </c>
      <c r="E1724" s="1">
        <v>3770</v>
      </c>
      <c r="F1724" s="1">
        <v>3230</v>
      </c>
      <c r="G1724" s="1">
        <v>499840</v>
      </c>
    </row>
    <row r="1725" spans="1:7" x14ac:dyDescent="0.25">
      <c r="A1725" s="1" t="s">
        <v>1940</v>
      </c>
      <c r="B1725" s="2" t="str">
        <f>HYPERLINK("https://www.elsevier.com/locate/issn/2589-9155", "Journal of Hydrology X")</f>
        <v>Journal of Hydrology X</v>
      </c>
      <c r="C1725" s="1" t="s">
        <v>23</v>
      </c>
      <c r="D1725" s="1">
        <v>2300</v>
      </c>
      <c r="E1725" s="1">
        <v>2150</v>
      </c>
      <c r="F1725" s="1">
        <v>1840</v>
      </c>
      <c r="G1725" s="1">
        <v>285270</v>
      </c>
    </row>
    <row r="1726" spans="1:7" x14ac:dyDescent="0.25">
      <c r="A1726" s="1" t="s">
        <v>1941</v>
      </c>
      <c r="B1726" s="2" t="str">
        <f>HYPERLINK("https://www.elsevier.com/locate/issn/2214-5818", "Journal of Hydrology: Regional Studies")</f>
        <v>Journal of Hydrology: Regional Studies</v>
      </c>
      <c r="C1726" s="1" t="s">
        <v>23</v>
      </c>
      <c r="D1726" s="1">
        <v>2420</v>
      </c>
      <c r="E1726" s="1">
        <v>2260</v>
      </c>
      <c r="F1726" s="1">
        <v>1940</v>
      </c>
      <c r="G1726" s="1">
        <v>300150</v>
      </c>
    </row>
    <row r="1727" spans="1:7" x14ac:dyDescent="0.25">
      <c r="A1727" s="1" t="s">
        <v>1942</v>
      </c>
      <c r="B1727" s="2" t="str">
        <f>HYPERLINK("https://www.elsevier.com/locate/issn/0022-1759", "Journal of Immunological Methods")</f>
        <v>Journal of Immunological Methods</v>
      </c>
      <c r="C1727" s="1" t="s">
        <v>10</v>
      </c>
      <c r="D1727" s="1">
        <v>2970</v>
      </c>
      <c r="E1727" s="1">
        <v>2780</v>
      </c>
      <c r="F1727" s="1">
        <v>2380</v>
      </c>
      <c r="G1727" s="1">
        <v>368370</v>
      </c>
    </row>
    <row r="1728" spans="1:7" x14ac:dyDescent="0.25">
      <c r="A1728" s="1" t="s">
        <v>1943</v>
      </c>
      <c r="B1728" s="2" t="str">
        <f>HYPERLINK("https://www.elsevier.com/locate/issn/2468-4988", "Journal of Immunology and Regenerative Medicine")</f>
        <v>Journal of Immunology and Regenerative Medicine</v>
      </c>
      <c r="C1728" s="1" t="s">
        <v>10</v>
      </c>
      <c r="D1728" s="1">
        <v>3610</v>
      </c>
      <c r="E1728" s="1">
        <v>3380</v>
      </c>
      <c r="F1728" s="1">
        <v>2890</v>
      </c>
      <c r="G1728" s="1">
        <v>447750</v>
      </c>
    </row>
    <row r="1729" spans="1:7" x14ac:dyDescent="0.25">
      <c r="A1729" s="1" t="s">
        <v>1944</v>
      </c>
      <c r="B1729" s="2" t="str">
        <f>HYPERLINK("https://www.elsevier.com/locate/issn/1226-086X", "Journal of Industrial and Engineering Chemistry")</f>
        <v>Journal of Industrial and Engineering Chemistry</v>
      </c>
      <c r="C1729" s="1" t="s">
        <v>10</v>
      </c>
      <c r="D1729" s="1">
        <v>2500</v>
      </c>
      <c r="E1729" s="1">
        <v>2340</v>
      </c>
      <c r="F1729" s="1">
        <v>2000</v>
      </c>
      <c r="G1729" s="1">
        <v>310080</v>
      </c>
    </row>
    <row r="1730" spans="1:7" x14ac:dyDescent="0.25">
      <c r="A1730" s="1" t="s">
        <v>1945</v>
      </c>
      <c r="B1730" s="2" t="str">
        <f>HYPERLINK("https://www.elsevier.com/locate/issn/2452-414X", "Journal of Industrial Information Integration")</f>
        <v>Journal of Industrial Information Integration</v>
      </c>
      <c r="C1730" s="1" t="s">
        <v>10</v>
      </c>
      <c r="D1730" s="1">
        <v>3810</v>
      </c>
      <c r="E1730" s="1">
        <v>3560</v>
      </c>
      <c r="F1730" s="1">
        <v>3050</v>
      </c>
      <c r="G1730" s="1">
        <v>472550</v>
      </c>
    </row>
    <row r="1731" spans="1:7" x14ac:dyDescent="0.25">
      <c r="A1731" s="1" t="s">
        <v>1946</v>
      </c>
      <c r="B1731" s="2" t="str">
        <f>HYPERLINK("https://www.elsevier.com/locate/issn/2950-2764", "Journal of Industrial Safety")</f>
        <v>Journal of Industrial Safety</v>
      </c>
      <c r="C1731" s="1" t="s">
        <v>34</v>
      </c>
      <c r="D1731" s="1" t="s">
        <v>324</v>
      </c>
      <c r="E1731" s="1" t="s">
        <v>324</v>
      </c>
      <c r="F1731" s="1" t="s">
        <v>324</v>
      </c>
      <c r="G1731" s="1" t="s">
        <v>324</v>
      </c>
    </row>
    <row r="1732" spans="1:7" x14ac:dyDescent="0.25">
      <c r="A1732" s="1" t="s">
        <v>1947</v>
      </c>
      <c r="B1732" s="2" t="str">
        <f>HYPERLINK("https://www.elsevier.com/locate/issn/0163-4453", "Journal of Infection")</f>
        <v>Journal of Infection</v>
      </c>
      <c r="C1732" s="1" t="s">
        <v>23</v>
      </c>
      <c r="D1732" s="1">
        <v>4030</v>
      </c>
      <c r="E1732" s="1">
        <v>3770</v>
      </c>
      <c r="F1732" s="1">
        <v>3226</v>
      </c>
      <c r="G1732" s="1">
        <v>499840</v>
      </c>
    </row>
    <row r="1733" spans="1:7" x14ac:dyDescent="0.25">
      <c r="A1733" s="1" t="s">
        <v>1948</v>
      </c>
      <c r="B1733" s="2" t="str">
        <f>HYPERLINK("https://www.elsevier.com/locate/issn/1341-321X", "Journal of Infection and Chemotherapy")</f>
        <v>Journal of Infection and Chemotherapy</v>
      </c>
      <c r="C1733" s="1" t="s">
        <v>10</v>
      </c>
      <c r="D1733" s="1">
        <v>2650</v>
      </c>
      <c r="E1733" s="1">
        <v>2480</v>
      </c>
      <c r="F1733" s="1">
        <v>2120</v>
      </c>
      <c r="G1733" s="1">
        <v>328680</v>
      </c>
    </row>
    <row r="1734" spans="1:7" x14ac:dyDescent="0.25">
      <c r="A1734" s="1" t="s">
        <v>1949</v>
      </c>
      <c r="B1734" s="2" t="str">
        <f>HYPERLINK("https://www.elsevier.com/locate/issn/1876-0341", "Journal of Infection and Public Health")</f>
        <v>Journal of Infection and Public Health</v>
      </c>
      <c r="C1734" s="1" t="s">
        <v>23</v>
      </c>
      <c r="D1734" s="1">
        <v>2310</v>
      </c>
      <c r="E1734" s="1">
        <v>2160</v>
      </c>
      <c r="F1734" s="1">
        <v>1850</v>
      </c>
      <c r="G1734" s="1">
        <v>286510</v>
      </c>
    </row>
    <row r="1735" spans="1:7" x14ac:dyDescent="0.25">
      <c r="A1735" s="1" t="s">
        <v>1950</v>
      </c>
      <c r="B1735" s="2" t="str">
        <f>HYPERLINK("https://www.elsevier.com/locate/issn/2949-7159", "Journal of Information and Intelligence")</f>
        <v>Journal of Information and Intelligence</v>
      </c>
      <c r="C1735" s="1" t="s">
        <v>34</v>
      </c>
      <c r="D1735" s="1">
        <v>1980</v>
      </c>
      <c r="E1735" s="1">
        <v>1850</v>
      </c>
      <c r="F1735" s="1">
        <v>1590</v>
      </c>
      <c r="G1735" s="1">
        <v>245580</v>
      </c>
    </row>
    <row r="1736" spans="1:7" x14ac:dyDescent="0.25">
      <c r="A1736" s="1" t="s">
        <v>1951</v>
      </c>
      <c r="B1736" s="2" t="str">
        <f>HYPERLINK("https://www.elsevier.com/locate/issn/2214-2126", "Journal of Information Security and Applications")</f>
        <v>Journal of Information Security and Applications</v>
      </c>
      <c r="C1736" s="1" t="s">
        <v>10</v>
      </c>
      <c r="D1736" s="1">
        <v>3130</v>
      </c>
      <c r="E1736" s="1">
        <v>2930</v>
      </c>
      <c r="F1736" s="1">
        <v>2510</v>
      </c>
      <c r="G1736" s="1">
        <v>388210</v>
      </c>
    </row>
    <row r="1737" spans="1:7" x14ac:dyDescent="0.25">
      <c r="A1737" s="1" t="s">
        <v>1952</v>
      </c>
      <c r="B1737" s="2" t="str">
        <f>HYPERLINK("https://www.elsevier.com/locate/issn/1751-1577", "Journal of Informetrics")</f>
        <v>Journal of Informetrics</v>
      </c>
      <c r="C1737" s="1" t="s">
        <v>10</v>
      </c>
      <c r="D1737" s="1">
        <v>3220</v>
      </c>
      <c r="E1737" s="1">
        <v>3010</v>
      </c>
      <c r="F1737" s="1">
        <v>2580</v>
      </c>
      <c r="G1737" s="1">
        <v>399380</v>
      </c>
    </row>
    <row r="1738" spans="1:7" x14ac:dyDescent="0.25">
      <c r="A1738" s="1" t="s">
        <v>1953</v>
      </c>
      <c r="B1738" s="2" t="str">
        <f>HYPERLINK("https://www.elsevier.com/locate/issn/2772-9915", "Journal of Infrastructure Intelligence and Resilience")</f>
        <v>Journal of Infrastructure Intelligence and Resilience</v>
      </c>
      <c r="C1738" s="1" t="s">
        <v>23</v>
      </c>
      <c r="D1738" s="1">
        <v>1600</v>
      </c>
      <c r="E1738" s="1">
        <v>1500</v>
      </c>
      <c r="F1738" s="1">
        <v>1280</v>
      </c>
      <c r="G1738" s="1">
        <v>198450</v>
      </c>
    </row>
    <row r="1739" spans="1:7" x14ac:dyDescent="0.25">
      <c r="A1739" s="1" t="s">
        <v>1954</v>
      </c>
      <c r="B1739" s="2" t="str">
        <f>HYPERLINK("https://www.elsevier.com/locate/issn/2444-569X", "Journal of Innovation &amp; Knowledge")</f>
        <v>Journal of Innovation &amp; Knowledge</v>
      </c>
      <c r="C1739" s="1" t="s">
        <v>23</v>
      </c>
      <c r="D1739" s="1">
        <v>2200</v>
      </c>
      <c r="E1739" s="1">
        <v>2060</v>
      </c>
      <c r="F1739" s="1">
        <v>1760</v>
      </c>
      <c r="G1739" s="1">
        <v>272870</v>
      </c>
    </row>
    <row r="1740" spans="1:7" x14ac:dyDescent="0.25">
      <c r="A1740" s="1" t="s">
        <v>1955</v>
      </c>
      <c r="B1740" s="2" t="str">
        <f>HYPERLINK("https://www.elsevier.com/locate/issn/0162-0134", "Journal of Inorganic Biochemistry")</f>
        <v>Journal of Inorganic Biochemistry</v>
      </c>
      <c r="C1740" s="1" t="s">
        <v>10</v>
      </c>
      <c r="D1740" s="1">
        <v>4220</v>
      </c>
      <c r="E1740" s="1">
        <v>3950</v>
      </c>
      <c r="F1740" s="1">
        <v>3380</v>
      </c>
      <c r="G1740" s="1">
        <v>523410</v>
      </c>
    </row>
    <row r="1741" spans="1:7" x14ac:dyDescent="0.25">
      <c r="A1741" s="1" t="s">
        <v>1956</v>
      </c>
      <c r="B1741" s="2" t="str">
        <f>HYPERLINK("https://www.elsevier.com/locate/issn/0022-1910", "Journal of Insect Physiology")</f>
        <v>Journal of Insect Physiology</v>
      </c>
      <c r="C1741" s="1" t="s">
        <v>10</v>
      </c>
      <c r="D1741" s="1">
        <v>3430</v>
      </c>
      <c r="E1741" s="1">
        <v>3210</v>
      </c>
      <c r="F1741" s="1">
        <v>2750</v>
      </c>
      <c r="G1741" s="1">
        <v>425420</v>
      </c>
    </row>
    <row r="1742" spans="1:7" x14ac:dyDescent="0.25">
      <c r="A1742" s="1" t="s">
        <v>1957</v>
      </c>
      <c r="B1742" s="2" t="str">
        <f>HYPERLINK("https://www.elsevier.com/locate/issn/2095-4964", "Journal of Integrative Medicine")</f>
        <v>Journal of Integrative Medicine</v>
      </c>
      <c r="C1742" s="1" t="s">
        <v>10</v>
      </c>
      <c r="D1742" s="1">
        <v>1800</v>
      </c>
      <c r="E1742" s="1">
        <v>1680</v>
      </c>
      <c r="F1742" s="1">
        <v>1440</v>
      </c>
      <c r="G1742" s="1">
        <v>223250</v>
      </c>
    </row>
    <row r="1743" spans="1:7" x14ac:dyDescent="0.25">
      <c r="A1743" s="1" t="s">
        <v>1958</v>
      </c>
      <c r="B1743" s="2" t="str">
        <f>HYPERLINK("https://www.elsevier.com/locate/issn/2667-100X", "Journal of Intensive Medicine")</f>
        <v>Journal of Intensive Medicine</v>
      </c>
      <c r="C1743" s="1" t="s">
        <v>23</v>
      </c>
      <c r="D1743" s="1">
        <v>2000</v>
      </c>
      <c r="E1743" s="1">
        <v>1870</v>
      </c>
      <c r="F1743" s="1">
        <v>1600</v>
      </c>
      <c r="G1743" s="1">
        <v>248060</v>
      </c>
    </row>
    <row r="1744" spans="1:7" x14ac:dyDescent="0.25">
      <c r="A1744" s="1" t="s">
        <v>1959</v>
      </c>
      <c r="B1744" s="2" t="str">
        <f>HYPERLINK("https://www.elsevier.com/locate/issn/3050-9971", "Journal of International Ceramic Studies")</f>
        <v>Journal of International Ceramic Studies</v>
      </c>
      <c r="C1744" s="1" t="s">
        <v>34</v>
      </c>
      <c r="D1744" s="1" t="s">
        <v>324</v>
      </c>
      <c r="E1744" s="1" t="s">
        <v>324</v>
      </c>
      <c r="F1744" s="1" t="s">
        <v>324</v>
      </c>
      <c r="G1744" s="1" t="s">
        <v>324</v>
      </c>
    </row>
    <row r="1745" spans="1:7" x14ac:dyDescent="0.25">
      <c r="A1745" s="1" t="s">
        <v>1960</v>
      </c>
      <c r="B1745" s="2" t="str">
        <f>HYPERLINK("https://www.elsevier.com/locate/issn/0022-1996", "Journal of International Economics")</f>
        <v>Journal of International Economics</v>
      </c>
      <c r="C1745" s="1" t="s">
        <v>10</v>
      </c>
      <c r="D1745" s="1">
        <v>4300</v>
      </c>
      <c r="E1745" s="1">
        <v>4020</v>
      </c>
      <c r="F1745" s="1">
        <v>3440</v>
      </c>
      <c r="G1745" s="1">
        <v>533330</v>
      </c>
    </row>
    <row r="1746" spans="1:7" x14ac:dyDescent="0.25">
      <c r="A1746" s="1" t="s">
        <v>1961</v>
      </c>
      <c r="B1746" s="2" t="str">
        <f>HYPERLINK("https://www.elsevier.com/locate/issn/1075-4253", "Journal of International Management")</f>
        <v>Journal of International Management</v>
      </c>
      <c r="C1746" s="1" t="s">
        <v>10</v>
      </c>
      <c r="D1746" s="1">
        <v>4020</v>
      </c>
      <c r="E1746" s="1">
        <v>3760</v>
      </c>
      <c r="F1746" s="1">
        <v>3220</v>
      </c>
      <c r="G1746" s="1">
        <v>498600</v>
      </c>
    </row>
    <row r="1747" spans="1:7" x14ac:dyDescent="0.25">
      <c r="A1747" s="1" t="s">
        <v>1962</v>
      </c>
      <c r="B1747" s="2" t="str">
        <f>HYPERLINK("https://www.elsevier.com/locate/issn/0261-5606", "Journal of International Money and Finance")</f>
        <v>Journal of International Money and Finance</v>
      </c>
      <c r="C1747" s="1" t="s">
        <v>10</v>
      </c>
      <c r="D1747" s="1">
        <v>3130</v>
      </c>
      <c r="E1747" s="1">
        <v>2930</v>
      </c>
      <c r="F1747" s="1">
        <v>2510</v>
      </c>
      <c r="G1747" s="1">
        <v>388210</v>
      </c>
    </row>
    <row r="1748" spans="1:7" x14ac:dyDescent="0.25">
      <c r="A1748" s="1" t="s">
        <v>1963</v>
      </c>
      <c r="B1748" s="2" t="str">
        <f>HYPERLINK("https://www.elsevier.com/locate/issn/2405-4526", "Journal of Interprofessional Education &amp; Practice")</f>
        <v>Journal of Interprofessional Education &amp; Practice</v>
      </c>
      <c r="C1748" s="1" t="s">
        <v>10</v>
      </c>
      <c r="D1748" s="1">
        <v>2820</v>
      </c>
      <c r="E1748" s="1">
        <v>2810</v>
      </c>
      <c r="F1748" s="1">
        <v>2400</v>
      </c>
      <c r="G1748" s="1">
        <v>372090</v>
      </c>
    </row>
    <row r="1749" spans="1:7" x14ac:dyDescent="0.25">
      <c r="A1749" s="1" t="s">
        <v>1964</v>
      </c>
      <c r="B1749" s="2" t="str">
        <f>HYPERLINK("https://www.elsevier.com/locate/issn/2096-3602", "Journal of Interventional Medicine")</f>
        <v>Journal of Interventional Medicine</v>
      </c>
      <c r="C1749" s="1" t="s">
        <v>34</v>
      </c>
      <c r="D1749" s="1" t="s">
        <v>324</v>
      </c>
      <c r="E1749" s="1" t="s">
        <v>324</v>
      </c>
      <c r="F1749" s="1" t="s">
        <v>324</v>
      </c>
      <c r="G1749" s="1" t="s">
        <v>324</v>
      </c>
    </row>
    <row r="1750" spans="1:7" x14ac:dyDescent="0.25">
      <c r="A1750" s="1" t="s">
        <v>1965</v>
      </c>
      <c r="B1750" s="2" t="str">
        <f>HYPERLINK("https://www.elsevier.com/locate/issn/0022-2011", "Journal of Invertebrate Pathology")</f>
        <v>Journal of Invertebrate Pathology</v>
      </c>
      <c r="C1750" s="1" t="s">
        <v>10</v>
      </c>
      <c r="D1750" s="1">
        <v>3760</v>
      </c>
      <c r="E1750" s="1">
        <v>3520</v>
      </c>
      <c r="F1750" s="1">
        <v>3010</v>
      </c>
      <c r="G1750" s="1">
        <v>466350</v>
      </c>
    </row>
    <row r="1751" spans="1:7" x14ac:dyDescent="0.25">
      <c r="A1751" s="1" t="s">
        <v>1966</v>
      </c>
      <c r="B1751" s="2" t="str">
        <f>HYPERLINK("https://www.elsevier.com/locate/issn/0022-202X", "Journal of Investigative Dermatology")</f>
        <v>Journal of Investigative Dermatology</v>
      </c>
      <c r="C1751" s="1" t="s">
        <v>10</v>
      </c>
      <c r="D1751" s="1">
        <v>3800</v>
      </c>
      <c r="E1751" s="1">
        <v>3550</v>
      </c>
      <c r="F1751" s="1">
        <v>3040</v>
      </c>
      <c r="G1751" s="1">
        <v>471310</v>
      </c>
    </row>
    <row r="1752" spans="1:7" x14ac:dyDescent="0.25">
      <c r="A1752" s="1" t="s">
        <v>1967</v>
      </c>
      <c r="B1752" s="2" t="str">
        <f>HYPERLINK("https://www.elsevier.com/locate/issn/1087-0024", "Journal of Investigative Dermatology Symposium Proceedings")</f>
        <v>Journal of Investigative Dermatology Symposium Proceedings</v>
      </c>
      <c r="C1752" s="1" t="s">
        <v>10</v>
      </c>
      <c r="D1752" s="1">
        <v>3200</v>
      </c>
      <c r="E1752" s="1">
        <v>2990</v>
      </c>
      <c r="F1752" s="1">
        <v>2560</v>
      </c>
      <c r="G1752" s="1">
        <v>396900</v>
      </c>
    </row>
    <row r="1753" spans="1:7" x14ac:dyDescent="0.25">
      <c r="A1753" s="1" t="s">
        <v>1968</v>
      </c>
      <c r="B1753" s="2" t="str">
        <f>HYPERLINK("https://www.elsevier.com/locate/issn/2772-4220", "Journal of Ionic Liquids")</f>
        <v>Journal of Ionic Liquids</v>
      </c>
      <c r="C1753" s="1" t="s">
        <v>23</v>
      </c>
      <c r="D1753" s="1">
        <v>1490</v>
      </c>
      <c r="E1753" s="1">
        <v>1390</v>
      </c>
      <c r="F1753" s="1">
        <v>1190</v>
      </c>
      <c r="G1753" s="1">
        <v>184800</v>
      </c>
    </row>
    <row r="1754" spans="1:7" x14ac:dyDescent="0.25">
      <c r="A1754" s="1" t="s">
        <v>1969</v>
      </c>
      <c r="B1754" s="2" t="str">
        <f>HYPERLINK("https://www.elsevier.com/locate/issn/2059-7754", "Journal of ISAKOS")</f>
        <v>Journal of ISAKOS</v>
      </c>
      <c r="C1754" s="1" t="s">
        <v>23</v>
      </c>
      <c r="D1754" s="1">
        <v>2000</v>
      </c>
      <c r="E1754" s="1">
        <v>1870</v>
      </c>
      <c r="F1754" s="1">
        <v>1600</v>
      </c>
      <c r="G1754" s="1">
        <v>248060</v>
      </c>
    </row>
    <row r="1755" spans="1:7" x14ac:dyDescent="0.25">
      <c r="A1755" s="1" t="s">
        <v>1970</v>
      </c>
      <c r="B1755" s="2" t="str">
        <f>HYPERLINK("https://www.elsevier.com/locate/issn/2949-7051", "Journal of Joint Surgery and Research")</f>
        <v>Journal of Joint Surgery and Research</v>
      </c>
      <c r="C1755" s="1" t="s">
        <v>23</v>
      </c>
      <c r="D1755" s="1">
        <v>1770</v>
      </c>
      <c r="E1755" s="1">
        <v>1660</v>
      </c>
      <c r="F1755" s="1">
        <v>1420</v>
      </c>
      <c r="G1755" s="1">
        <v>219530</v>
      </c>
    </row>
    <row r="1756" spans="1:7" x14ac:dyDescent="0.25">
      <c r="A1756" s="1" t="s">
        <v>1971</v>
      </c>
      <c r="B1756" s="2" t="str">
        <f>HYPERLINK("https://www.elsevier.com/locate/issn/1319-1578", "Journal of King Saud University - Computer and Information Sciences")</f>
        <v>Journal of King Saud University - Computer and Information Sciences</v>
      </c>
      <c r="C1756" s="1" t="s">
        <v>23</v>
      </c>
      <c r="D1756" s="1">
        <v>1450</v>
      </c>
      <c r="E1756" s="1">
        <v>1360</v>
      </c>
      <c r="F1756" s="1">
        <v>1160</v>
      </c>
      <c r="G1756" s="1">
        <v>179840</v>
      </c>
    </row>
    <row r="1757" spans="1:7" x14ac:dyDescent="0.25">
      <c r="A1757" s="1" t="s">
        <v>1972</v>
      </c>
      <c r="B1757" s="2" t="str">
        <f>HYPERLINK("https://www.elsevier.com/locate/issn/1018-3639", "Journal of King Saud University - Engineering Sciences")</f>
        <v>Journal of King Saud University - Engineering Sciences</v>
      </c>
      <c r="C1757" s="1" t="s">
        <v>34</v>
      </c>
      <c r="D1757" s="1" t="s">
        <v>324</v>
      </c>
      <c r="E1757" s="1" t="s">
        <v>324</v>
      </c>
      <c r="F1757" s="1" t="s">
        <v>324</v>
      </c>
      <c r="G1757" s="1" t="s">
        <v>324</v>
      </c>
    </row>
    <row r="1758" spans="1:7" x14ac:dyDescent="0.25">
      <c r="A1758" s="1" t="s">
        <v>1973</v>
      </c>
      <c r="B1758" s="2" t="str">
        <f>HYPERLINK("https://www.elsevier.com/locate/issn/1018-3647", "Journal of King Saud University - Science")</f>
        <v>Journal of King Saud University - Science</v>
      </c>
      <c r="C1758" s="1" t="s">
        <v>23</v>
      </c>
      <c r="D1758" s="1">
        <v>1600</v>
      </c>
      <c r="E1758" s="1">
        <v>1500</v>
      </c>
      <c r="F1758" s="1">
        <v>1280</v>
      </c>
      <c r="G1758" s="1">
        <v>198450</v>
      </c>
    </row>
    <row r="1759" spans="1:7" x14ac:dyDescent="0.25">
      <c r="A1759" s="1" t="s">
        <v>1974</v>
      </c>
      <c r="B1759" s="2" t="str">
        <f>HYPERLINK("https://www.elsevier.com/locate/issn/0022-2275", "Journal of Lipid Research")</f>
        <v>Journal of Lipid Research</v>
      </c>
      <c r="C1759" s="1" t="s">
        <v>23</v>
      </c>
      <c r="D1759" s="1">
        <v>3860</v>
      </c>
      <c r="E1759" s="1">
        <v>3610</v>
      </c>
      <c r="F1759" s="1">
        <v>3090</v>
      </c>
      <c r="G1759" s="1">
        <v>478760</v>
      </c>
    </row>
    <row r="1760" spans="1:7" x14ac:dyDescent="0.25">
      <c r="A1760" s="1" t="s">
        <v>1975</v>
      </c>
      <c r="B1760" s="2" t="str">
        <f>HYPERLINK("https://www.elsevier.com/locate/issn/2666-9676", "Journal of Liver Transplantation")</f>
        <v>Journal of Liver Transplantation</v>
      </c>
      <c r="C1760" s="1" t="s">
        <v>23</v>
      </c>
      <c r="D1760" s="1">
        <v>2090</v>
      </c>
      <c r="E1760" s="1">
        <v>1960</v>
      </c>
      <c r="F1760" s="1">
        <v>1670</v>
      </c>
      <c r="G1760" s="1">
        <v>259220</v>
      </c>
    </row>
    <row r="1761" spans="1:7" x14ac:dyDescent="0.25">
      <c r="A1761" s="1" t="s">
        <v>1976</v>
      </c>
      <c r="B1761" s="2" t="str">
        <f>HYPERLINK("https://www.elsevier.com/locate/issn/2352-2208", "Journal of Logical and Algebraic Methods in Programming")</f>
        <v>Journal of Logical and Algebraic Methods in Programming</v>
      </c>
      <c r="C1761" s="1" t="s">
        <v>10</v>
      </c>
      <c r="D1761" s="1">
        <v>2610</v>
      </c>
      <c r="E1761" s="1">
        <v>2440</v>
      </c>
      <c r="F1761" s="1">
        <v>2090</v>
      </c>
      <c r="G1761" s="1">
        <v>323720</v>
      </c>
    </row>
    <row r="1762" spans="1:7" x14ac:dyDescent="0.25">
      <c r="A1762" s="1" t="s">
        <v>1977</v>
      </c>
      <c r="B1762" s="2" t="str">
        <f>HYPERLINK("https://www.elsevier.com/locate/issn/0950-4230", "Journal of Loss Prevention in the Process Industries")</f>
        <v>Journal of Loss Prevention in the Process Industries</v>
      </c>
      <c r="C1762" s="1" t="s">
        <v>10</v>
      </c>
      <c r="D1762" s="1">
        <v>4020</v>
      </c>
      <c r="E1762" s="1">
        <v>3760</v>
      </c>
      <c r="F1762" s="1">
        <v>3220</v>
      </c>
      <c r="G1762" s="1">
        <v>498600</v>
      </c>
    </row>
    <row r="1763" spans="1:7" x14ac:dyDescent="0.25">
      <c r="A1763" s="1" t="s">
        <v>1978</v>
      </c>
      <c r="B1763" s="2" t="str">
        <f>HYPERLINK("https://www.elsevier.com/locate/issn/0022-2313", "Journal of Luminescence")</f>
        <v>Journal of Luminescence</v>
      </c>
      <c r="C1763" s="1" t="s">
        <v>10</v>
      </c>
      <c r="D1763" s="1">
        <v>2850</v>
      </c>
      <c r="E1763" s="1">
        <v>2670</v>
      </c>
      <c r="F1763" s="1">
        <v>2280</v>
      </c>
      <c r="G1763" s="1">
        <v>353490</v>
      </c>
    </row>
    <row r="1764" spans="1:7" x14ac:dyDescent="0.25">
      <c r="A1764" s="1" t="s">
        <v>1979</v>
      </c>
      <c r="B1764" s="2" t="str">
        <f>HYPERLINK("https://www.elsevier.com/locate/issn/0164-0704", "Journal of Macroeconomics")</f>
        <v>Journal of Macroeconomics</v>
      </c>
      <c r="C1764" s="1" t="s">
        <v>10</v>
      </c>
      <c r="D1764" s="1">
        <v>3140</v>
      </c>
      <c r="E1764" s="1">
        <v>2940</v>
      </c>
      <c r="F1764" s="1">
        <v>2510</v>
      </c>
      <c r="G1764" s="1">
        <v>389450</v>
      </c>
    </row>
    <row r="1765" spans="1:7" x14ac:dyDescent="0.25">
      <c r="A1765" s="1" t="s">
        <v>1980</v>
      </c>
      <c r="B1765" s="2" t="str">
        <f>HYPERLINK("https://www.elsevier.com/locate/issn/2213-9567", "Journal of Magnesium and Alloys")</f>
        <v>Journal of Magnesium and Alloys</v>
      </c>
      <c r="C1765" s="1" t="s">
        <v>34</v>
      </c>
      <c r="D1765" s="1" t="s">
        <v>324</v>
      </c>
      <c r="E1765" s="1" t="s">
        <v>324</v>
      </c>
      <c r="F1765" s="1" t="s">
        <v>324</v>
      </c>
      <c r="G1765" s="1" t="s">
        <v>324</v>
      </c>
    </row>
    <row r="1766" spans="1:7" x14ac:dyDescent="0.25">
      <c r="A1766" s="1" t="s">
        <v>1981</v>
      </c>
      <c r="B1766" s="2" t="str">
        <f>HYPERLINK("https://www.elsevier.com/locate/issn/1090-7807", "Journal of Magnetic Resonance")</f>
        <v>Journal of Magnetic Resonance</v>
      </c>
      <c r="C1766" s="1" t="s">
        <v>10</v>
      </c>
      <c r="D1766" s="1">
        <v>3500</v>
      </c>
      <c r="E1766" s="1">
        <v>3270</v>
      </c>
      <c r="F1766" s="1">
        <v>2800</v>
      </c>
      <c r="G1766" s="1">
        <v>434110</v>
      </c>
    </row>
    <row r="1767" spans="1:7" x14ac:dyDescent="0.25">
      <c r="A1767" s="1" t="s">
        <v>1982</v>
      </c>
      <c r="B1767" s="2" t="str">
        <f>HYPERLINK("https://www.elsevier.com/locate/issn/2666-4410", "Journal of Magnetic Resonance Open")</f>
        <v>Journal of Magnetic Resonance Open</v>
      </c>
      <c r="C1767" s="1" t="s">
        <v>23</v>
      </c>
      <c r="D1767" s="1">
        <v>1790</v>
      </c>
      <c r="E1767" s="1">
        <v>1670</v>
      </c>
      <c r="F1767" s="1">
        <v>1430</v>
      </c>
      <c r="G1767" s="1">
        <v>222010</v>
      </c>
    </row>
    <row r="1768" spans="1:7" x14ac:dyDescent="0.25">
      <c r="A1768" s="1" t="s">
        <v>1983</v>
      </c>
      <c r="B1768" s="2" t="str">
        <f>HYPERLINK("https://www.elsevier.com/locate/issn/0304-8853", "Journal of Magnetism and Magnetic Materials")</f>
        <v>Journal of Magnetism and Magnetic Materials</v>
      </c>
      <c r="C1768" s="1" t="s">
        <v>10</v>
      </c>
      <c r="D1768" s="1">
        <v>3210</v>
      </c>
      <c r="E1768" s="1">
        <v>3000</v>
      </c>
      <c r="F1768" s="1">
        <v>2570</v>
      </c>
      <c r="G1768" s="1">
        <v>398140</v>
      </c>
    </row>
    <row r="1769" spans="1:7" x14ac:dyDescent="0.25">
      <c r="A1769" s="1" t="s">
        <v>1984</v>
      </c>
      <c r="B1769" s="2" t="str">
        <f>HYPERLINK("https://www.elsevier.com/locate/issn/2096-2320", "Journal of Management Science and Engineering")</f>
        <v>Journal of Management Science and Engineering</v>
      </c>
      <c r="C1769" s="1" t="s">
        <v>34</v>
      </c>
      <c r="D1769" s="1" t="s">
        <v>324</v>
      </c>
      <c r="E1769" s="1" t="s">
        <v>324</v>
      </c>
      <c r="F1769" s="1" t="s">
        <v>324</v>
      </c>
      <c r="G1769" s="1" t="s">
        <v>324</v>
      </c>
    </row>
    <row r="1770" spans="1:7" x14ac:dyDescent="0.25">
      <c r="A1770" s="1" t="s">
        <v>1985</v>
      </c>
      <c r="B1770" s="2" t="str">
        <f>HYPERLINK("https://www.elsevier.com/locate/issn/0161-4754", "Journal of Manipulative and Physiological Therapeutics")</f>
        <v>Journal of Manipulative and Physiological Therapeutics</v>
      </c>
      <c r="C1770" s="1" t="s">
        <v>10</v>
      </c>
      <c r="D1770" s="1">
        <v>2900</v>
      </c>
      <c r="E1770" s="1">
        <v>2710</v>
      </c>
      <c r="F1770" s="1">
        <v>2320</v>
      </c>
      <c r="G1770" s="1">
        <v>359690</v>
      </c>
    </row>
    <row r="1771" spans="1:7" x14ac:dyDescent="0.25">
      <c r="A1771" s="1" t="s">
        <v>1986</v>
      </c>
      <c r="B1771" s="2" t="str">
        <f>HYPERLINK("https://www.elsevier.com/locate/issn/1526-6125", "Journal of Manufacturing Processes")</f>
        <v>Journal of Manufacturing Processes</v>
      </c>
      <c r="C1771" s="1" t="s">
        <v>10</v>
      </c>
      <c r="D1771" s="1">
        <v>3520</v>
      </c>
      <c r="E1771" s="1">
        <v>3290</v>
      </c>
      <c r="F1771" s="1">
        <v>2820</v>
      </c>
      <c r="G1771" s="1">
        <v>436590</v>
      </c>
    </row>
    <row r="1772" spans="1:7" x14ac:dyDescent="0.25">
      <c r="A1772" s="1" t="s">
        <v>1987</v>
      </c>
      <c r="B1772" s="2" t="str">
        <f>HYPERLINK("https://www.elsevier.com/locate/issn/0278-6125", "Journal of Manufacturing Systems")</f>
        <v>Journal of Manufacturing Systems</v>
      </c>
      <c r="C1772" s="1" t="s">
        <v>10</v>
      </c>
      <c r="D1772" s="1">
        <v>3850</v>
      </c>
      <c r="E1772" s="1">
        <v>3600</v>
      </c>
      <c r="F1772" s="1">
        <v>3080</v>
      </c>
      <c r="G1772" s="1">
        <v>477520</v>
      </c>
    </row>
    <row r="1773" spans="1:7" x14ac:dyDescent="0.25">
      <c r="A1773" s="1" t="s">
        <v>1988</v>
      </c>
      <c r="B1773" s="2" t="str">
        <f>HYPERLINK("https://www.elsevier.com/locate/issn/0924-7963", "Journal of Marine Systems")</f>
        <v>Journal of Marine Systems</v>
      </c>
      <c r="C1773" s="1" t="s">
        <v>10</v>
      </c>
      <c r="D1773" s="1">
        <v>3510</v>
      </c>
      <c r="E1773" s="1">
        <v>3280</v>
      </c>
      <c r="F1773" s="1">
        <v>2810</v>
      </c>
      <c r="G1773" s="1">
        <v>435350</v>
      </c>
    </row>
    <row r="1774" spans="1:7" x14ac:dyDescent="0.25">
      <c r="A1774" s="1" t="s">
        <v>1989</v>
      </c>
      <c r="B1774" s="2" t="str">
        <f>HYPERLINK("https://www.elsevier.com/locate/issn/2667-145X", "Journal of Mass Spectrometry and Advances in the Clinical Lab")</f>
        <v>Journal of Mass Spectrometry and Advances in the Clinical Lab</v>
      </c>
      <c r="C1774" s="1" t="s">
        <v>23</v>
      </c>
      <c r="D1774" s="1">
        <v>900</v>
      </c>
      <c r="E1774" s="1">
        <v>840</v>
      </c>
      <c r="F1774" s="1">
        <v>720</v>
      </c>
      <c r="G1774" s="1">
        <v>111630</v>
      </c>
    </row>
    <row r="1775" spans="1:7" x14ac:dyDescent="0.25">
      <c r="A1775" s="1" t="s">
        <v>1990</v>
      </c>
      <c r="B1775" s="2" t="str">
        <f>HYPERLINK("https://www.elsevier.com/locate/issn/0924-0136", "Journal of Materials Processing Technology")</f>
        <v>Journal of Materials Processing Technology</v>
      </c>
      <c r="C1775" s="1" t="s">
        <v>10</v>
      </c>
      <c r="D1775" s="1">
        <v>3980</v>
      </c>
      <c r="E1775" s="1">
        <v>3720</v>
      </c>
      <c r="F1775" s="1">
        <v>3190</v>
      </c>
      <c r="G1775" s="1">
        <v>493640</v>
      </c>
    </row>
    <row r="1776" spans="1:7" x14ac:dyDescent="0.25">
      <c r="A1776" s="1" t="s">
        <v>1991</v>
      </c>
      <c r="B1776" s="2" t="str">
        <f>HYPERLINK("https://www.elsevier.com/locate/issn/2238-7854", "Journal of Materials Research and Technology")</f>
        <v>Journal of Materials Research and Technology</v>
      </c>
      <c r="C1776" s="1" t="s">
        <v>23</v>
      </c>
      <c r="D1776" s="1">
        <v>1640</v>
      </c>
      <c r="E1776" s="1">
        <v>1530</v>
      </c>
      <c r="F1776" s="1">
        <v>1310</v>
      </c>
      <c r="G1776" s="1">
        <v>203410</v>
      </c>
    </row>
    <row r="1777" spans="1:7" x14ac:dyDescent="0.25">
      <c r="A1777" s="1" t="s">
        <v>1992</v>
      </c>
      <c r="B1777" s="2" t="str">
        <f>HYPERLINK("https://www.elsevier.com/locate/issn/1005-0302", "Journal of Materials Science &amp; Technology")</f>
        <v>Journal of Materials Science &amp; Technology</v>
      </c>
      <c r="C1777" s="1" t="s">
        <v>10</v>
      </c>
      <c r="D1777" s="1">
        <v>3000</v>
      </c>
      <c r="E1777" s="1">
        <v>2810</v>
      </c>
      <c r="F1777" s="1">
        <v>2400</v>
      </c>
      <c r="G1777" s="1">
        <v>372090</v>
      </c>
    </row>
    <row r="1778" spans="1:7" x14ac:dyDescent="0.25">
      <c r="A1778" s="1" t="s">
        <v>1993</v>
      </c>
      <c r="B1778" s="2" t="str">
        <f>HYPERLINK("https://www.elsevier.com/locate/issn/2352-8478", "Journal of Materiomics")</f>
        <v>Journal of Materiomics</v>
      </c>
      <c r="C1778" s="1" t="s">
        <v>23</v>
      </c>
      <c r="D1778" s="1">
        <v>1750</v>
      </c>
      <c r="E1778" s="1">
        <v>1640</v>
      </c>
      <c r="F1778" s="1">
        <v>1400</v>
      </c>
      <c r="G1778" s="1">
        <v>217050</v>
      </c>
    </row>
    <row r="1779" spans="1:7" x14ac:dyDescent="0.25">
      <c r="A1779" s="1" t="s">
        <v>1994</v>
      </c>
      <c r="B1779" s="2" t="str">
        <f>HYPERLINK("https://www.elsevier.com/locate/issn/0022-247X", "Journal of Mathematical Analysis and Applications")</f>
        <v>Journal of Mathematical Analysis and Applications</v>
      </c>
      <c r="C1779" s="1" t="s">
        <v>10</v>
      </c>
      <c r="D1779" s="1">
        <v>3190</v>
      </c>
      <c r="E1779" s="1">
        <v>2980</v>
      </c>
      <c r="F1779" s="1">
        <v>2550</v>
      </c>
      <c r="G1779" s="1">
        <v>395660</v>
      </c>
    </row>
    <row r="1780" spans="1:7" x14ac:dyDescent="0.25">
      <c r="A1780" s="1" t="s">
        <v>1995</v>
      </c>
      <c r="B1780" s="2" t="str">
        <f>HYPERLINK("https://www.elsevier.com/locate/issn/0304-4068", "Journal of Mathematical Economics")</f>
        <v>Journal of Mathematical Economics</v>
      </c>
      <c r="C1780" s="1" t="s">
        <v>10</v>
      </c>
      <c r="D1780" s="1">
        <v>2840</v>
      </c>
      <c r="E1780" s="1">
        <v>2660</v>
      </c>
      <c r="F1780" s="1">
        <v>2270</v>
      </c>
      <c r="G1780" s="1">
        <v>352250</v>
      </c>
    </row>
    <row r="1781" spans="1:7" x14ac:dyDescent="0.25">
      <c r="A1781" s="1" t="s">
        <v>1996</v>
      </c>
      <c r="B1781" s="2" t="str">
        <f>HYPERLINK("https://www.elsevier.com/locate/issn/0022-2496", "Journal of Mathematical Psychology")</f>
        <v>Journal of Mathematical Psychology</v>
      </c>
      <c r="C1781" s="1" t="s">
        <v>10</v>
      </c>
      <c r="D1781" s="1">
        <v>3440</v>
      </c>
      <c r="E1781" s="1">
        <v>3220</v>
      </c>
      <c r="F1781" s="1">
        <v>2750</v>
      </c>
      <c r="G1781" s="1">
        <v>426660</v>
      </c>
    </row>
    <row r="1782" spans="1:7" x14ac:dyDescent="0.25">
      <c r="A1782" s="1" t="s">
        <v>1997</v>
      </c>
      <c r="B1782" s="2" t="str">
        <f>HYPERLINK("https://www.elsevier.com/locate/issn/1939-8654", "Journal of Medical Imaging and Radiation Sciences")</f>
        <v>Journal of Medical Imaging and Radiation Sciences</v>
      </c>
      <c r="C1782" s="1" t="s">
        <v>10</v>
      </c>
      <c r="D1782" s="1">
        <v>2900</v>
      </c>
      <c r="E1782" s="1">
        <v>2710</v>
      </c>
      <c r="F1782" s="1">
        <v>2320</v>
      </c>
      <c r="G1782" s="1">
        <v>359690</v>
      </c>
    </row>
    <row r="1783" spans="1:7" x14ac:dyDescent="0.25">
      <c r="A1783" s="1" t="s">
        <v>1998</v>
      </c>
      <c r="B1783" s="2" t="str">
        <f>HYPERLINK("https://www.elsevier.com/locate/issn/1156-5233", "Journal of Medical Mycology")</f>
        <v>Journal of Medical Mycology</v>
      </c>
      <c r="C1783" s="1" t="s">
        <v>10</v>
      </c>
      <c r="D1783" s="1">
        <v>3250</v>
      </c>
      <c r="E1783" s="1">
        <v>2960</v>
      </c>
      <c r="F1783" s="1">
        <v>2600</v>
      </c>
      <c r="G1783" s="1">
        <v>403100</v>
      </c>
    </row>
    <row r="1784" spans="1:7" x14ac:dyDescent="0.25">
      <c r="A1784" s="1" t="s">
        <v>1999</v>
      </c>
      <c r="B1784" s="2" t="str">
        <f>HYPERLINK("https://www.elsevier.com/locate/issn/0376-7388", "Journal of Membrane Science")</f>
        <v>Journal of Membrane Science</v>
      </c>
      <c r="C1784" s="1" t="s">
        <v>10</v>
      </c>
      <c r="D1784" s="1">
        <v>4690</v>
      </c>
      <c r="E1784" s="1">
        <v>4390</v>
      </c>
      <c r="F1784" s="1">
        <v>3750</v>
      </c>
      <c r="G1784" s="1">
        <v>581700</v>
      </c>
    </row>
    <row r="1785" spans="1:7" x14ac:dyDescent="0.25">
      <c r="A1785" s="1" t="s">
        <v>2000</v>
      </c>
      <c r="B1785" s="2" t="str">
        <f>HYPERLINK("https://www.elsevier.com/locate/issn/2772-4212", "Journal of Membrane Science Letters")</f>
        <v>Journal of Membrane Science Letters</v>
      </c>
      <c r="C1785" s="1" t="s">
        <v>23</v>
      </c>
      <c r="D1785" s="1">
        <v>1620</v>
      </c>
      <c r="E1785" s="1">
        <v>1520</v>
      </c>
      <c r="F1785" s="1">
        <v>1300</v>
      </c>
      <c r="G1785" s="1">
        <v>200930</v>
      </c>
    </row>
    <row r="1786" spans="1:7" x14ac:dyDescent="0.25">
      <c r="A1786" s="1" t="s">
        <v>2001</v>
      </c>
      <c r="B1786" s="2" t="str">
        <f>HYPERLINK("https://www.elsevier.com/locate/issn/0749-596X", "Journal of Memory and Language")</f>
        <v>Journal of Memory and Language</v>
      </c>
      <c r="C1786" s="1" t="s">
        <v>10</v>
      </c>
      <c r="D1786" s="1">
        <v>4670</v>
      </c>
      <c r="E1786" s="1">
        <v>4370</v>
      </c>
      <c r="F1786" s="1">
        <v>3740</v>
      </c>
      <c r="G1786" s="1">
        <v>579220</v>
      </c>
    </row>
    <row r="1787" spans="1:7" x14ac:dyDescent="0.25">
      <c r="A1787" s="1" t="s">
        <v>2002</v>
      </c>
      <c r="B1787" s="2" t="str">
        <f>HYPERLINK("https://www.elsevier.com/locate/issn/0167-7012", "Journal of Microbiological Methods")</f>
        <v>Journal of Microbiological Methods</v>
      </c>
      <c r="C1787" s="1" t="s">
        <v>10</v>
      </c>
      <c r="D1787" s="1">
        <v>3120</v>
      </c>
      <c r="E1787" s="1">
        <v>2920</v>
      </c>
      <c r="F1787" s="1">
        <v>2500</v>
      </c>
      <c r="G1787" s="1">
        <v>386970</v>
      </c>
    </row>
    <row r="1788" spans="1:7" x14ac:dyDescent="0.25">
      <c r="A1788" s="1" t="s">
        <v>2003</v>
      </c>
      <c r="B1788" s="2" t="str">
        <f>HYPERLINK("https://www.elsevier.com/locate/issn/2666-6235", "Journal of Migration and Health")</f>
        <v>Journal of Migration and Health</v>
      </c>
      <c r="C1788" s="1" t="s">
        <v>23</v>
      </c>
      <c r="D1788" s="1">
        <v>2670</v>
      </c>
      <c r="E1788" s="1">
        <v>2500</v>
      </c>
      <c r="F1788" s="1">
        <v>2140</v>
      </c>
      <c r="G1788" s="1">
        <v>331160</v>
      </c>
    </row>
    <row r="1789" spans="1:7" x14ac:dyDescent="0.25">
      <c r="A1789" s="1" t="s">
        <v>2004</v>
      </c>
      <c r="B1789" s="2" t="str">
        <f>HYPERLINK("https://www.elsevier.com/locate/issn/1553-4650", "Journal of Minimally Invasive Gynecology")</f>
        <v>Journal of Minimally Invasive Gynecology</v>
      </c>
      <c r="C1789" s="1" t="s">
        <v>10</v>
      </c>
      <c r="D1789" s="1">
        <v>3000</v>
      </c>
      <c r="E1789" s="1">
        <v>2810</v>
      </c>
      <c r="F1789" s="1">
        <v>2400</v>
      </c>
      <c r="G1789" s="1">
        <v>372090</v>
      </c>
    </row>
    <row r="1790" spans="1:7" x14ac:dyDescent="0.25">
      <c r="A1790" s="1" t="s">
        <v>2005</v>
      </c>
      <c r="B1790" s="2" t="str">
        <f>HYPERLINK("https://www.elsevier.com/locate/issn/0022-2828", "Journal of Molecular and Cellular Cardiology")</f>
        <v>Journal of Molecular and Cellular Cardiology</v>
      </c>
      <c r="C1790" s="1" t="s">
        <v>10</v>
      </c>
      <c r="D1790" s="1">
        <v>4120</v>
      </c>
      <c r="E1790" s="1">
        <v>3850</v>
      </c>
      <c r="F1790" s="1">
        <v>3300</v>
      </c>
      <c r="G1790" s="1">
        <v>511000</v>
      </c>
    </row>
    <row r="1791" spans="1:7" x14ac:dyDescent="0.25">
      <c r="A1791" s="1" t="s">
        <v>2006</v>
      </c>
      <c r="B1791" s="2" t="str">
        <f>HYPERLINK("https://www.elsevier.com/locate/issn/2772-9761", "Journal of Molecular and Cellular Cardiology Plus")</f>
        <v>Journal of Molecular and Cellular Cardiology Plus</v>
      </c>
      <c r="C1791" s="1" t="s">
        <v>23</v>
      </c>
      <c r="D1791" s="1">
        <v>2020</v>
      </c>
      <c r="E1791" s="1">
        <v>1890</v>
      </c>
      <c r="F1791" s="1">
        <v>1620</v>
      </c>
      <c r="G1791" s="1">
        <v>250540</v>
      </c>
    </row>
    <row r="1792" spans="1:7" x14ac:dyDescent="0.25">
      <c r="A1792" s="1" t="s">
        <v>2007</v>
      </c>
      <c r="B1792" s="2" t="str">
        <f>HYPERLINK("https://www.elsevier.com/locate/issn/0022-2836", "Journal of Molecular Biology")</f>
        <v>Journal of Molecular Biology</v>
      </c>
      <c r="C1792" s="1" t="s">
        <v>10</v>
      </c>
      <c r="D1792" s="1">
        <v>4730</v>
      </c>
      <c r="E1792" s="1">
        <v>4420</v>
      </c>
      <c r="F1792" s="1">
        <v>3790</v>
      </c>
      <c r="G1792" s="1">
        <v>586660</v>
      </c>
    </row>
    <row r="1793" spans="1:7" x14ac:dyDescent="0.25">
      <c r="A1793" s="1" t="s">
        <v>2008</v>
      </c>
      <c r="B1793" s="2" t="str">
        <f>HYPERLINK("https://www.elsevier.com/locate/issn/1093-3263", "Journal of Molecular Graphics and Modelling")</f>
        <v>Journal of Molecular Graphics and Modelling</v>
      </c>
      <c r="C1793" s="1" t="s">
        <v>10</v>
      </c>
      <c r="D1793" s="1">
        <v>3940</v>
      </c>
      <c r="E1793" s="1">
        <v>3690</v>
      </c>
      <c r="F1793" s="1">
        <v>3150</v>
      </c>
      <c r="G1793" s="1">
        <v>488680</v>
      </c>
    </row>
    <row r="1794" spans="1:7" x14ac:dyDescent="0.25">
      <c r="A1794" s="1" t="s">
        <v>2009</v>
      </c>
      <c r="B1794" s="2" t="str">
        <f>HYPERLINK("https://www.elsevier.com/locate/issn/0167-7322", "Journal of Molecular Liquids")</f>
        <v>Journal of Molecular Liquids</v>
      </c>
      <c r="C1794" s="1" t="s">
        <v>10</v>
      </c>
      <c r="D1794" s="1">
        <v>3480</v>
      </c>
      <c r="E1794" s="1">
        <v>3260</v>
      </c>
      <c r="F1794" s="1">
        <v>2790</v>
      </c>
      <c r="G1794" s="1">
        <v>431620</v>
      </c>
    </row>
    <row r="1795" spans="1:7" x14ac:dyDescent="0.25">
      <c r="A1795" s="1" t="s">
        <v>2010</v>
      </c>
      <c r="B1795" s="2" t="str">
        <f>HYPERLINK("https://www.elsevier.com/locate/issn/0022-2852", "Journal of Molecular Spectroscopy")</f>
        <v>Journal of Molecular Spectroscopy</v>
      </c>
      <c r="C1795" s="1" t="s">
        <v>10</v>
      </c>
      <c r="D1795" s="1">
        <v>3310</v>
      </c>
      <c r="E1795" s="1">
        <v>3100</v>
      </c>
      <c r="F1795" s="1">
        <v>2650</v>
      </c>
      <c r="G1795" s="1">
        <v>410540</v>
      </c>
    </row>
    <row r="1796" spans="1:7" x14ac:dyDescent="0.25">
      <c r="A1796" s="1" t="s">
        <v>2011</v>
      </c>
      <c r="B1796" s="2" t="str">
        <f>HYPERLINK("https://www.elsevier.com/locate/issn/0022-2860", "Journal of Molecular Structure")</f>
        <v>Journal of Molecular Structure</v>
      </c>
      <c r="C1796" s="1" t="s">
        <v>10</v>
      </c>
      <c r="D1796" s="1">
        <v>3360</v>
      </c>
      <c r="E1796" s="1">
        <v>3140</v>
      </c>
      <c r="F1796" s="1">
        <v>2690</v>
      </c>
      <c r="G1796" s="1">
        <v>416740</v>
      </c>
    </row>
    <row r="1797" spans="1:7" x14ac:dyDescent="0.25">
      <c r="A1797" s="1" t="s">
        <v>2012</v>
      </c>
      <c r="B1797" s="2" t="str">
        <f>HYPERLINK("https://www.elsevier.com/locate/issn/0304-3932", "Journal of Monetary Economics")</f>
        <v>Journal of Monetary Economics</v>
      </c>
      <c r="C1797" s="1" t="s">
        <v>10</v>
      </c>
      <c r="D1797" s="1">
        <v>4660</v>
      </c>
      <c r="E1797" s="1">
        <v>4360</v>
      </c>
      <c r="F1797" s="1">
        <v>3730</v>
      </c>
      <c r="G1797" s="1">
        <v>577980</v>
      </c>
    </row>
    <row r="1798" spans="1:7" x14ac:dyDescent="0.25">
      <c r="A1798" s="1" t="s">
        <v>2013</v>
      </c>
      <c r="B1798" s="2" t="str">
        <f>HYPERLINK("https://www.elsevier.com/locate/issn/2950-0044", "Journal of Mood and Anxiety Disorders")</f>
        <v>Journal of Mood and Anxiety Disorders</v>
      </c>
      <c r="C1798" s="1" t="s">
        <v>23</v>
      </c>
      <c r="D1798" s="1">
        <v>2700</v>
      </c>
      <c r="E1798" s="1">
        <v>2530</v>
      </c>
      <c r="F1798" s="1">
        <v>2160</v>
      </c>
      <c r="G1798" s="1">
        <v>334880</v>
      </c>
    </row>
    <row r="1799" spans="1:7" x14ac:dyDescent="0.25">
      <c r="A1799" s="1" t="s">
        <v>2014</v>
      </c>
      <c r="B1799" s="2" t="str">
        <f>HYPERLINK("https://www.elsevier.com/locate/issn/1042-444X", "Journal of Multinational Financial Management")</f>
        <v>Journal of Multinational Financial Management</v>
      </c>
      <c r="C1799" s="1" t="s">
        <v>10</v>
      </c>
      <c r="D1799" s="1">
        <v>3080</v>
      </c>
      <c r="E1799" s="1">
        <v>2880</v>
      </c>
      <c r="F1799" s="1">
        <v>2470</v>
      </c>
      <c r="G1799" s="1">
        <v>382010</v>
      </c>
    </row>
    <row r="1800" spans="1:7" x14ac:dyDescent="0.25">
      <c r="A1800" s="1" t="s">
        <v>2015</v>
      </c>
      <c r="B1800" s="2" t="str">
        <f>HYPERLINK("https://www.elsevier.com/locate/issn/0047-259X", "Journal of Multivariate Analysis")</f>
        <v>Journal of Multivariate Analysis</v>
      </c>
      <c r="C1800" s="1" t="s">
        <v>10</v>
      </c>
      <c r="D1800" s="1">
        <v>3310</v>
      </c>
      <c r="E1800" s="1">
        <v>3100</v>
      </c>
      <c r="F1800" s="1">
        <v>2650</v>
      </c>
      <c r="G1800" s="1">
        <v>410540</v>
      </c>
    </row>
    <row r="1801" spans="1:7" x14ac:dyDescent="0.25">
      <c r="A1801" s="1" t="s">
        <v>2016</v>
      </c>
      <c r="B1801" s="2" t="str">
        <f>HYPERLINK("https://www.elsevier.com/locate/issn/2468-256X", "Journal of Natural Gas Geoscience")</f>
        <v>Journal of Natural Gas Geoscience</v>
      </c>
      <c r="C1801" s="1" t="s">
        <v>34</v>
      </c>
      <c r="D1801" s="1" t="s">
        <v>324</v>
      </c>
      <c r="E1801" s="1" t="s">
        <v>324</v>
      </c>
      <c r="F1801" s="1" t="s">
        <v>324</v>
      </c>
      <c r="G1801" s="1" t="s">
        <v>324</v>
      </c>
    </row>
    <row r="1802" spans="1:7" x14ac:dyDescent="0.25">
      <c r="A1802" s="1" t="s">
        <v>2017</v>
      </c>
      <c r="B1802" s="2" t="str">
        <f>HYPERLINK("https://www.elsevier.com/locate/issn/2773-0786", "Journal of Natural Pesticide Research")</f>
        <v>Journal of Natural Pesticide Research</v>
      </c>
      <c r="C1802" s="1" t="s">
        <v>23</v>
      </c>
      <c r="D1802" s="1">
        <v>2020</v>
      </c>
      <c r="E1802" s="1">
        <v>1890</v>
      </c>
      <c r="F1802" s="1">
        <v>1620</v>
      </c>
      <c r="G1802" s="1">
        <v>250540</v>
      </c>
    </row>
    <row r="1803" spans="1:7" x14ac:dyDescent="0.25">
      <c r="A1803" s="1" t="s">
        <v>2018</v>
      </c>
      <c r="B1803" s="2" t="str">
        <f>HYPERLINK("https://www.elsevier.com/locate/issn/1355-1841", "Journal of Neonatal Nursing")</f>
        <v>Journal of Neonatal Nursing</v>
      </c>
      <c r="C1803" s="1" t="s">
        <v>10</v>
      </c>
      <c r="D1803" s="1">
        <v>3200</v>
      </c>
      <c r="E1803" s="1">
        <v>2990</v>
      </c>
      <c r="F1803" s="1">
        <v>2560</v>
      </c>
      <c r="G1803" s="1">
        <v>396900</v>
      </c>
    </row>
    <row r="1804" spans="1:7" x14ac:dyDescent="0.25">
      <c r="A1804" s="1" t="s">
        <v>2019</v>
      </c>
      <c r="B1804" s="2" t="str">
        <f>HYPERLINK("https://www.elsevier.com/locate/issn/1084-8045", "Journal of Network and Computer Applications")</f>
        <v>Journal of Network and Computer Applications</v>
      </c>
      <c r="C1804" s="1" t="s">
        <v>10</v>
      </c>
      <c r="D1804" s="1">
        <v>3120</v>
      </c>
      <c r="E1804" s="1">
        <v>2920</v>
      </c>
      <c r="F1804" s="1">
        <v>2500</v>
      </c>
      <c r="G1804" s="1">
        <v>386970</v>
      </c>
    </row>
    <row r="1805" spans="1:7" x14ac:dyDescent="0.25">
      <c r="A1805" s="1" t="s">
        <v>2020</v>
      </c>
      <c r="B1805" s="2" t="str">
        <f>HYPERLINK("https://www.elsevier.com/locate/issn/0165-5728", "Journal of Neuroimmunology")</f>
        <v>Journal of Neuroimmunology</v>
      </c>
      <c r="C1805" s="1" t="s">
        <v>10</v>
      </c>
      <c r="D1805" s="1">
        <v>3360</v>
      </c>
      <c r="E1805" s="1">
        <v>3140</v>
      </c>
      <c r="F1805" s="1">
        <v>2690</v>
      </c>
      <c r="G1805" s="1">
        <v>416740</v>
      </c>
    </row>
    <row r="1806" spans="1:7" x14ac:dyDescent="0.25">
      <c r="A1806" s="1" t="s">
        <v>2021</v>
      </c>
      <c r="B1806" s="2" t="str">
        <f>HYPERLINK("https://www.elsevier.com/locate/issn/0911-6044", "Journal of Neurolinguistics")</f>
        <v>Journal of Neurolinguistics</v>
      </c>
      <c r="C1806" s="1" t="s">
        <v>10</v>
      </c>
      <c r="D1806" s="1">
        <v>3430</v>
      </c>
      <c r="E1806" s="1">
        <v>3210</v>
      </c>
      <c r="F1806" s="1">
        <v>2750</v>
      </c>
      <c r="G1806" s="1">
        <v>425420</v>
      </c>
    </row>
    <row r="1807" spans="1:7" x14ac:dyDescent="0.25">
      <c r="A1807" s="1" t="s">
        <v>2022</v>
      </c>
      <c r="B1807" s="2" t="str">
        <f>HYPERLINK("https://www.elsevier.com/locate/issn/0150-9861", "Journal of Neuroradiology")</f>
        <v>Journal of Neuroradiology</v>
      </c>
      <c r="C1807" s="1" t="s">
        <v>10</v>
      </c>
      <c r="D1807" s="1">
        <v>4040</v>
      </c>
      <c r="E1807" s="1">
        <v>3680</v>
      </c>
      <c r="F1807" s="1">
        <v>3230</v>
      </c>
      <c r="G1807" s="1">
        <v>501080</v>
      </c>
    </row>
    <row r="1808" spans="1:7" x14ac:dyDescent="0.25">
      <c r="A1808" s="1" t="s">
        <v>2023</v>
      </c>
      <c r="B1808" s="2" t="str">
        <f>HYPERLINK("https://www.elsevier.com/locate/issn/2324-2426", "Journal of Neurorestoratology")</f>
        <v>Journal of Neurorestoratology</v>
      </c>
      <c r="C1808" s="1" t="s">
        <v>23</v>
      </c>
      <c r="D1808" s="1">
        <v>1700</v>
      </c>
      <c r="E1808" s="1">
        <v>1590</v>
      </c>
      <c r="F1808" s="1">
        <v>1360</v>
      </c>
      <c r="G1808" s="1">
        <v>210850</v>
      </c>
    </row>
    <row r="1809" spans="1:7" x14ac:dyDescent="0.25">
      <c r="A1809" s="1" t="s">
        <v>2024</v>
      </c>
      <c r="B1809" s="2" t="str">
        <f>HYPERLINK("https://www.elsevier.com/locate/issn/0165-0270", "Journal of Neuroscience Methods")</f>
        <v>Journal of Neuroscience Methods</v>
      </c>
      <c r="C1809" s="1" t="s">
        <v>10</v>
      </c>
      <c r="D1809" s="1">
        <v>3900</v>
      </c>
      <c r="E1809" s="1">
        <v>3650</v>
      </c>
      <c r="F1809" s="1">
        <v>3120</v>
      </c>
      <c r="G1809" s="1">
        <v>483720</v>
      </c>
    </row>
    <row r="1810" spans="1:7" x14ac:dyDescent="0.25">
      <c r="A1810" s="1" t="s">
        <v>2025</v>
      </c>
      <c r="B1810" s="2" t="str">
        <f>HYPERLINK("https://www.elsevier.com/locate/issn/0022-3093", "Journal of Non-Crystalline Solids")</f>
        <v>Journal of Non-Crystalline Solids</v>
      </c>
      <c r="C1810" s="1" t="s">
        <v>10</v>
      </c>
      <c r="D1810" s="1">
        <v>3380</v>
      </c>
      <c r="E1810" s="1">
        <v>3160</v>
      </c>
      <c r="F1810" s="1">
        <v>2710</v>
      </c>
      <c r="G1810" s="1">
        <v>419220</v>
      </c>
    </row>
    <row r="1811" spans="1:7" x14ac:dyDescent="0.25">
      <c r="A1811" s="1" t="s">
        <v>2026</v>
      </c>
      <c r="B1811" s="2" t="str">
        <f>HYPERLINK("https://www.elsevier.com/locate/issn/2590-1591", "Journal of Non-Crystalline Solids: X")</f>
        <v>Journal of Non-Crystalline Solids: X</v>
      </c>
      <c r="C1811" s="1" t="s">
        <v>23</v>
      </c>
      <c r="D1811" s="1">
        <v>2610</v>
      </c>
      <c r="E1811" s="1">
        <v>2440</v>
      </c>
      <c r="F1811" s="1">
        <v>2090</v>
      </c>
      <c r="G1811" s="1">
        <v>323720</v>
      </c>
    </row>
    <row r="1812" spans="1:7" x14ac:dyDescent="0.25">
      <c r="A1812" s="1" t="s">
        <v>2027</v>
      </c>
      <c r="B1812" s="2" t="str">
        <f>HYPERLINK("https://www.elsevier.com/locate/issn/0377-0257", "Journal of Non-Newtonian Fluid Mechanics")</f>
        <v>Journal of Non-Newtonian Fluid Mechanics</v>
      </c>
      <c r="C1812" s="1" t="s">
        <v>10</v>
      </c>
      <c r="D1812" s="1">
        <v>3010</v>
      </c>
      <c r="E1812" s="1">
        <v>2820</v>
      </c>
      <c r="F1812" s="1">
        <v>2410</v>
      </c>
      <c r="G1812" s="1">
        <v>373330</v>
      </c>
    </row>
    <row r="1813" spans="1:7" x14ac:dyDescent="0.25">
      <c r="A1813" s="1" t="s">
        <v>2028</v>
      </c>
      <c r="B1813" s="2" t="str">
        <f>HYPERLINK("https://www.elsevier.com/locate/issn/0022-3115", "Journal of Nuclear Materials")</f>
        <v>Journal of Nuclear Materials</v>
      </c>
      <c r="C1813" s="1" t="s">
        <v>10</v>
      </c>
      <c r="D1813" s="1">
        <v>2640</v>
      </c>
      <c r="E1813" s="1">
        <v>2470</v>
      </c>
      <c r="F1813" s="1">
        <v>2110</v>
      </c>
      <c r="G1813" s="1">
        <v>327440</v>
      </c>
    </row>
    <row r="1814" spans="1:7" x14ac:dyDescent="0.25">
      <c r="A1814" s="1" t="s">
        <v>2029</v>
      </c>
      <c r="B1814" s="2" t="str">
        <f>HYPERLINK("https://www.elsevier.com/locate/issn/0022-314X", "Journal of Number Theory")</f>
        <v>Journal of Number Theory</v>
      </c>
      <c r="C1814" s="1" t="s">
        <v>10</v>
      </c>
      <c r="D1814" s="1">
        <v>3550</v>
      </c>
      <c r="E1814" s="1">
        <v>3320</v>
      </c>
      <c r="F1814" s="1">
        <v>2840</v>
      </c>
      <c r="G1814" s="1">
        <v>440310</v>
      </c>
    </row>
    <row r="1815" spans="1:7" x14ac:dyDescent="0.25">
      <c r="A1815" s="1" t="s">
        <v>2030</v>
      </c>
      <c r="B1815" s="2" t="str">
        <f>HYPERLINK("https://www.elsevier.com/locate/issn/2155-8256", "Journal of Nursing Regulation")</f>
        <v>Journal of Nursing Regulation</v>
      </c>
      <c r="C1815" s="1" t="s">
        <v>10</v>
      </c>
      <c r="D1815" s="1">
        <v>2850</v>
      </c>
      <c r="E1815" s="1">
        <v>2670</v>
      </c>
      <c r="F1815" s="1">
        <v>2280</v>
      </c>
      <c r="G1815" s="1">
        <v>353490</v>
      </c>
    </row>
    <row r="1816" spans="1:7" x14ac:dyDescent="0.25">
      <c r="A1816" s="1" t="s">
        <v>2031</v>
      </c>
      <c r="B1816" s="2" t="str">
        <f>HYPERLINK("https://www.elsevier.com/locate/issn/1499-4046", "Journal of Nutrition Education and Behavior")</f>
        <v>Journal of Nutrition Education and Behavior</v>
      </c>
      <c r="C1816" s="1" t="s">
        <v>10</v>
      </c>
      <c r="D1816" s="1">
        <v>3440</v>
      </c>
      <c r="E1816" s="1">
        <v>3220</v>
      </c>
      <c r="F1816" s="1">
        <v>2750</v>
      </c>
      <c r="G1816" s="1">
        <v>426660</v>
      </c>
    </row>
    <row r="1817" spans="1:7" x14ac:dyDescent="0.25">
      <c r="A1817" s="1" t="s">
        <v>2032</v>
      </c>
      <c r="B1817" s="2" t="str">
        <f>HYPERLINK("https://www.elsevier.com/locate/issn/2211-3649", "Journal of Obsessive-Compulsive and Related Disorders")</f>
        <v>Journal of Obsessive-Compulsive and Related Disorders</v>
      </c>
      <c r="C1817" s="1" t="s">
        <v>10</v>
      </c>
      <c r="D1817" s="1">
        <v>3490</v>
      </c>
      <c r="E1817" s="1">
        <v>3260</v>
      </c>
      <c r="F1817" s="1">
        <v>2790</v>
      </c>
      <c r="G1817" s="1">
        <v>432860</v>
      </c>
    </row>
    <row r="1818" spans="1:7" x14ac:dyDescent="0.25">
      <c r="A1818" s="1" t="s">
        <v>2033</v>
      </c>
      <c r="B1818" s="2" t="str">
        <f>HYPERLINK("https://www.elsevier.com/locate/issn/1701-2163", "Journal of Obstetrics and Gynaecology Canada")</f>
        <v>Journal of Obstetrics and Gynaecology Canada</v>
      </c>
      <c r="C1818" s="1" t="s">
        <v>10</v>
      </c>
      <c r="D1818" s="1">
        <v>3100</v>
      </c>
      <c r="E1818" s="1">
        <v>2900</v>
      </c>
      <c r="F1818" s="1">
        <v>2480</v>
      </c>
      <c r="G1818" s="1">
        <v>384490</v>
      </c>
    </row>
    <row r="1819" spans="1:7" x14ac:dyDescent="0.25">
      <c r="A1819" s="1" t="s">
        <v>2034</v>
      </c>
      <c r="B1819" s="2" t="str">
        <f>HYPERLINK("https://www.elsevier.com/locate/issn/2468-0133", "Journal of Ocean Engineering and Science")</f>
        <v>Journal of Ocean Engineering and Science</v>
      </c>
      <c r="C1819" s="1" t="s">
        <v>34</v>
      </c>
      <c r="D1819" s="1" t="s">
        <v>324</v>
      </c>
      <c r="E1819" s="1" t="s">
        <v>324</v>
      </c>
      <c r="F1819" s="1" t="s">
        <v>324</v>
      </c>
      <c r="G1819" s="1" t="s">
        <v>324</v>
      </c>
    </row>
    <row r="1820" spans="1:7" x14ac:dyDescent="0.25">
      <c r="A1820" s="1" t="s">
        <v>2035</v>
      </c>
      <c r="B1820" s="2" t="str">
        <f>HYPERLINK("https://www.elsevier.com/locate/issn/1888-4296", "Journal of Optometry")</f>
        <v>Journal of Optometry</v>
      </c>
      <c r="C1820" s="1" t="s">
        <v>23</v>
      </c>
      <c r="D1820" s="1">
        <v>2030</v>
      </c>
      <c r="E1820" s="1">
        <v>1900</v>
      </c>
      <c r="F1820" s="1">
        <v>1620</v>
      </c>
      <c r="G1820" s="1">
        <v>251780</v>
      </c>
    </row>
    <row r="1821" spans="1:7" x14ac:dyDescent="0.25">
      <c r="A1821" s="1" t="s">
        <v>2036</v>
      </c>
      <c r="B1821" s="2" t="str">
        <f>HYPERLINK("https://www.elsevier.com/locate/issn/0278-2391", "Journal of Oral and Maxillofacial Surgery")</f>
        <v>Journal of Oral and Maxillofacial Surgery</v>
      </c>
      <c r="C1821" s="1" t="s">
        <v>10</v>
      </c>
      <c r="D1821" s="1">
        <v>3500</v>
      </c>
      <c r="E1821" s="1">
        <v>3270</v>
      </c>
      <c r="F1821" s="1">
        <v>2800</v>
      </c>
      <c r="G1821" s="1">
        <v>434110</v>
      </c>
    </row>
    <row r="1822" spans="1:7" x14ac:dyDescent="0.25">
      <c r="A1822" s="1" t="s">
        <v>2037</v>
      </c>
      <c r="B1822" s="2" t="str">
        <f>HYPERLINK("https://www.elsevier.com/locate/issn/2212-4268", "Journal of Oral Biology and Craniofacial Research")</f>
        <v>Journal of Oral Biology and Craniofacial Research</v>
      </c>
      <c r="C1822" s="1" t="s">
        <v>23</v>
      </c>
      <c r="D1822" s="1">
        <v>1800</v>
      </c>
      <c r="E1822" s="1">
        <v>1680</v>
      </c>
      <c r="F1822" s="1">
        <v>1440</v>
      </c>
      <c r="G1822" s="1">
        <v>223250</v>
      </c>
    </row>
    <row r="1823" spans="1:7" x14ac:dyDescent="0.25">
      <c r="A1823" s="1" t="s">
        <v>2038</v>
      </c>
      <c r="B1823" s="2" t="str">
        <f>HYPERLINK("https://www.elsevier.com/locate/issn/1349-0079", "Journal of Oral Biosciences")</f>
        <v>Journal of Oral Biosciences</v>
      </c>
      <c r="C1823" s="1" t="s">
        <v>10</v>
      </c>
      <c r="D1823" s="1">
        <v>2950</v>
      </c>
      <c r="E1823" s="1">
        <v>2760</v>
      </c>
      <c r="F1823" s="1">
        <v>2360</v>
      </c>
      <c r="G1823" s="1">
        <v>365890</v>
      </c>
    </row>
    <row r="1824" spans="1:7" x14ac:dyDescent="0.25">
      <c r="A1824" s="1" t="s">
        <v>2039</v>
      </c>
      <c r="B1824" s="2" t="str">
        <f>HYPERLINK("https://www.elsevier.com/locate/issn/0022-328X", "Journal of Organometallic Chemistry")</f>
        <v>Journal of Organometallic Chemistry</v>
      </c>
      <c r="C1824" s="1" t="s">
        <v>10</v>
      </c>
      <c r="D1824" s="1">
        <v>3970</v>
      </c>
      <c r="E1824" s="1">
        <v>3710</v>
      </c>
      <c r="F1824" s="1">
        <v>3180</v>
      </c>
      <c r="G1824" s="1">
        <v>492400</v>
      </c>
    </row>
    <row r="1825" spans="1:7" x14ac:dyDescent="0.25">
      <c r="A1825" s="1" t="s">
        <v>2040</v>
      </c>
      <c r="B1825" s="2" t="str">
        <f>HYPERLINK("https://www.elsevier.com/locate/issn/2773-157X", "Journal of Orthopaedic Reports")</f>
        <v>Journal of Orthopaedic Reports</v>
      </c>
      <c r="C1825" s="1" t="s">
        <v>23</v>
      </c>
      <c r="D1825" s="1">
        <v>600</v>
      </c>
      <c r="E1825" s="1">
        <v>560</v>
      </c>
      <c r="F1825" s="1">
        <v>480</v>
      </c>
      <c r="G1825" s="1">
        <v>74420</v>
      </c>
    </row>
    <row r="1826" spans="1:7" x14ac:dyDescent="0.25">
      <c r="A1826" s="1" t="s">
        <v>2041</v>
      </c>
      <c r="B1826" s="2" t="str">
        <f>HYPERLINK("https://www.elsevier.com/locate/issn/0949-2658", "Journal of Orthopaedic Science")</f>
        <v>Journal of Orthopaedic Science</v>
      </c>
      <c r="C1826" s="1" t="s">
        <v>10</v>
      </c>
      <c r="D1826" s="1">
        <v>3000</v>
      </c>
      <c r="E1826" s="1">
        <v>2810</v>
      </c>
      <c r="F1826" s="1">
        <v>2400</v>
      </c>
      <c r="G1826" s="1">
        <v>372090</v>
      </c>
    </row>
    <row r="1827" spans="1:7" x14ac:dyDescent="0.25">
      <c r="A1827" s="1" t="s">
        <v>2042</v>
      </c>
      <c r="B1827" s="2" t="str">
        <f>HYPERLINK("https://www.elsevier.com/locate/issn/2214-031X", "Journal of Orthopaedic Translation")</f>
        <v>Journal of Orthopaedic Translation</v>
      </c>
      <c r="C1827" s="1" t="s">
        <v>23</v>
      </c>
      <c r="D1827" s="1">
        <v>2500</v>
      </c>
      <c r="E1827" s="1">
        <v>2340</v>
      </c>
      <c r="F1827" s="1">
        <v>2000</v>
      </c>
      <c r="G1827" s="1">
        <v>310080</v>
      </c>
    </row>
    <row r="1828" spans="1:7" x14ac:dyDescent="0.25">
      <c r="A1828" s="1" t="s">
        <v>2043</v>
      </c>
      <c r="B1828" s="2" t="str">
        <f>HYPERLINK("https://www.elsevier.com/locate/issn/0972-978X", "Journal of Orthopaedics")</f>
        <v>Journal of Orthopaedics</v>
      </c>
      <c r="C1828" s="1" t="s">
        <v>10</v>
      </c>
      <c r="D1828" s="1">
        <v>3000</v>
      </c>
      <c r="E1828" s="1">
        <v>2810</v>
      </c>
      <c r="F1828" s="1">
        <v>2400</v>
      </c>
      <c r="G1828" s="1">
        <v>372090</v>
      </c>
    </row>
    <row r="1829" spans="1:7" x14ac:dyDescent="0.25">
      <c r="A1829" s="1" t="s">
        <v>2044</v>
      </c>
      <c r="B1829" s="2" t="str">
        <f>HYPERLINK("https://www.elsevier.com/locate/issn/1672-2930", "Journal of Otology")</f>
        <v>Journal of Otology</v>
      </c>
      <c r="C1829" s="1" t="s">
        <v>34</v>
      </c>
      <c r="D1829" s="1" t="s">
        <v>324</v>
      </c>
      <c r="E1829" s="1" t="s">
        <v>324</v>
      </c>
      <c r="F1829" s="1" t="s">
        <v>324</v>
      </c>
      <c r="G1829" s="1" t="s">
        <v>324</v>
      </c>
    </row>
    <row r="1830" spans="1:7" x14ac:dyDescent="0.25">
      <c r="A1830" s="1" t="s">
        <v>2045</v>
      </c>
      <c r="B1830" s="2" t="str">
        <f>HYPERLINK("https://www.elsevier.com/locate/issn/2213-0780", "Journal of Outdoor Recreation and Tourism")</f>
        <v>Journal of Outdoor Recreation and Tourism</v>
      </c>
      <c r="C1830" s="1" t="s">
        <v>10</v>
      </c>
      <c r="D1830" s="1">
        <v>3340</v>
      </c>
      <c r="E1830" s="1">
        <v>3120</v>
      </c>
      <c r="F1830" s="1">
        <v>2670</v>
      </c>
      <c r="G1830" s="1">
        <v>414260</v>
      </c>
    </row>
    <row r="1831" spans="1:7" x14ac:dyDescent="0.25">
      <c r="A1831" s="1" t="s">
        <v>2046</v>
      </c>
      <c r="B1831" s="2" t="str">
        <f>HYPERLINK("https://www.elsevier.com/locate/issn/0885-3924", "Journal of Pain and Symptom Management")</f>
        <v>Journal of Pain and Symptom Management</v>
      </c>
      <c r="C1831" s="1" t="s">
        <v>10</v>
      </c>
      <c r="D1831" s="1">
        <v>4760</v>
      </c>
      <c r="E1831" s="1">
        <v>4450</v>
      </c>
      <c r="F1831" s="1">
        <v>3810</v>
      </c>
      <c r="G1831" s="1">
        <v>590380</v>
      </c>
    </row>
    <row r="1832" spans="1:7" x14ac:dyDescent="0.25">
      <c r="A1832" s="1" t="s">
        <v>2047</v>
      </c>
      <c r="B1832" s="2" t="str">
        <f>HYPERLINK("https://www.elsevier.com/locate/issn/0743-7315", "Journal of Parallel and Distributed Computing")</f>
        <v>Journal of Parallel and Distributed Computing</v>
      </c>
      <c r="C1832" s="1" t="s">
        <v>10</v>
      </c>
      <c r="D1832" s="1">
        <v>3250</v>
      </c>
      <c r="E1832" s="1">
        <v>3040</v>
      </c>
      <c r="F1832" s="1">
        <v>2600</v>
      </c>
      <c r="G1832" s="1">
        <v>403100</v>
      </c>
    </row>
    <row r="1833" spans="1:7" x14ac:dyDescent="0.25">
      <c r="A1833" s="1" t="s">
        <v>2048</v>
      </c>
      <c r="B1833" s="2" t="str">
        <f>HYPERLINK("https://www.elsevier.com/locate/issn/2153-3539", "Journal of Pathology Informatics")</f>
        <v>Journal of Pathology Informatics</v>
      </c>
      <c r="C1833" s="1" t="s">
        <v>23</v>
      </c>
      <c r="D1833" s="1">
        <v>2270</v>
      </c>
      <c r="E1833" s="1">
        <v>2120</v>
      </c>
      <c r="F1833" s="1">
        <v>1820</v>
      </c>
      <c r="G1833" s="1">
        <v>281550</v>
      </c>
    </row>
    <row r="1834" spans="1:7" x14ac:dyDescent="0.25">
      <c r="A1834" s="1" t="s">
        <v>2049</v>
      </c>
      <c r="B1834" s="2" t="str">
        <f>HYPERLINK("https://www.elsevier.com/locate/issn/1083-3188", "Journal of Pediatric and Adolescent Gynecology")</f>
        <v>Journal of Pediatric and Adolescent Gynecology</v>
      </c>
      <c r="C1834" s="1" t="s">
        <v>10</v>
      </c>
      <c r="D1834" s="1">
        <v>2950</v>
      </c>
      <c r="E1834" s="1">
        <v>2760</v>
      </c>
      <c r="F1834" s="1">
        <v>2360</v>
      </c>
      <c r="G1834" s="1">
        <v>365890</v>
      </c>
    </row>
    <row r="1835" spans="1:7" x14ac:dyDescent="0.25">
      <c r="A1835" s="1" t="s">
        <v>2050</v>
      </c>
      <c r="B1835" s="2" t="str">
        <f>HYPERLINK("https://www.elsevier.com/locate/issn/0891-5245", "Journal of Pediatric Health Care")</f>
        <v>Journal of Pediatric Health Care</v>
      </c>
      <c r="C1835" s="1" t="s">
        <v>10</v>
      </c>
      <c r="D1835" s="1">
        <v>2930</v>
      </c>
      <c r="E1835" s="1">
        <v>2740</v>
      </c>
      <c r="F1835" s="1">
        <v>2350</v>
      </c>
      <c r="G1835" s="1">
        <v>363410</v>
      </c>
    </row>
    <row r="1836" spans="1:7" x14ac:dyDescent="0.25">
      <c r="A1836" s="1" t="s">
        <v>2051</v>
      </c>
      <c r="B1836" s="2" t="str">
        <f>HYPERLINK("https://www.elsevier.com/locate/issn/0882-5963", "Journal of Pediatric Nursing")</f>
        <v>Journal of Pediatric Nursing</v>
      </c>
      <c r="C1836" s="1" t="s">
        <v>10</v>
      </c>
      <c r="D1836" s="1">
        <v>3730</v>
      </c>
      <c r="E1836" s="1">
        <v>3490</v>
      </c>
      <c r="F1836" s="1">
        <v>2990</v>
      </c>
      <c r="G1836" s="1">
        <v>462630</v>
      </c>
    </row>
    <row r="1837" spans="1:7" x14ac:dyDescent="0.25">
      <c r="A1837" s="1" t="s">
        <v>2052</v>
      </c>
      <c r="B1837" s="2" t="str">
        <f>HYPERLINK("https://www.elsevier.com/locate/issn/0022-3468", "Journal of Pediatric Surgery")</f>
        <v>Journal of Pediatric Surgery</v>
      </c>
      <c r="C1837" s="1" t="s">
        <v>10</v>
      </c>
      <c r="D1837" s="1">
        <v>4430</v>
      </c>
      <c r="E1837" s="1">
        <v>4140</v>
      </c>
      <c r="F1837" s="1">
        <v>3550</v>
      </c>
      <c r="G1837" s="1">
        <v>549450</v>
      </c>
    </row>
    <row r="1838" spans="1:7" x14ac:dyDescent="0.25">
      <c r="A1838" s="1" t="s">
        <v>2053</v>
      </c>
      <c r="B1838" s="2" t="str">
        <f>HYPERLINK("https://www.elsevier.com/locate/issn/2213-5766", "Journal of Pediatric Surgery Case Reports")</f>
        <v>Journal of Pediatric Surgery Case Reports</v>
      </c>
      <c r="C1838" s="1" t="s">
        <v>23</v>
      </c>
      <c r="D1838" s="1">
        <v>1130</v>
      </c>
      <c r="E1838" s="1">
        <v>1060</v>
      </c>
      <c r="F1838" s="1">
        <v>900</v>
      </c>
      <c r="G1838" s="1">
        <v>140150</v>
      </c>
    </row>
    <row r="1839" spans="1:7" x14ac:dyDescent="0.25">
      <c r="A1839" s="1" t="s">
        <v>2054</v>
      </c>
      <c r="B1839" s="2" t="str">
        <f>HYPERLINK("https://www.elsevier.com/locate/issn/2949-7116", "Journal of Pediatric Surgery Open")</f>
        <v>Journal of Pediatric Surgery Open</v>
      </c>
      <c r="C1839" s="1" t="s">
        <v>23</v>
      </c>
      <c r="D1839" s="1">
        <v>2050</v>
      </c>
      <c r="E1839" s="1">
        <v>1920</v>
      </c>
      <c r="F1839" s="1">
        <v>1640</v>
      </c>
      <c r="G1839" s="1">
        <v>254260</v>
      </c>
    </row>
    <row r="1840" spans="1:7" x14ac:dyDescent="0.25">
      <c r="A1840" s="1" t="s">
        <v>2055</v>
      </c>
      <c r="B1840" s="2" t="str">
        <f>HYPERLINK("https://www.elsevier.com/locate/issn/1477-5131", "Journal of Pediatric Urology")</f>
        <v>Journal of Pediatric Urology</v>
      </c>
      <c r="C1840" s="1" t="s">
        <v>10</v>
      </c>
      <c r="D1840" s="1">
        <v>3300</v>
      </c>
      <c r="E1840" s="1">
        <v>3090</v>
      </c>
      <c r="F1840" s="1">
        <v>2640</v>
      </c>
      <c r="G1840" s="1">
        <v>409300</v>
      </c>
    </row>
    <row r="1841" spans="1:7" x14ac:dyDescent="0.25">
      <c r="A1841" s="1" t="s">
        <v>2056</v>
      </c>
      <c r="B1841" s="2" t="str">
        <f>HYPERLINK("https://www.elsevier.com/locate/issn/1089-9472", "Journal of PeriAnesthesia Nursing")</f>
        <v>Journal of PeriAnesthesia Nursing</v>
      </c>
      <c r="C1841" s="1" t="s">
        <v>10</v>
      </c>
      <c r="D1841" s="1">
        <v>2880</v>
      </c>
      <c r="E1841" s="1">
        <v>2690</v>
      </c>
      <c r="F1841" s="1">
        <v>2310</v>
      </c>
      <c r="G1841" s="1">
        <v>357210</v>
      </c>
    </row>
    <row r="1842" spans="1:7" x14ac:dyDescent="0.25">
      <c r="A1842" s="1" t="s">
        <v>2057</v>
      </c>
      <c r="B1842" s="2" t="str">
        <f>HYPERLINK("https://www.elsevier.com/locate/issn/2095-1779", "Journal of Pharmaceutical Analysis")</f>
        <v>Journal of Pharmaceutical Analysis</v>
      </c>
      <c r="C1842" s="1" t="s">
        <v>23</v>
      </c>
      <c r="D1842" s="1">
        <v>1900</v>
      </c>
      <c r="E1842" s="1">
        <v>1730</v>
      </c>
      <c r="F1842" s="1">
        <v>1520</v>
      </c>
      <c r="G1842" s="1">
        <v>235660</v>
      </c>
    </row>
    <row r="1843" spans="1:7" x14ac:dyDescent="0.25">
      <c r="A1843" s="1" t="s">
        <v>2058</v>
      </c>
      <c r="B1843" s="2" t="str">
        <f>HYPERLINK("https://www.elsevier.com/locate/issn/0731-7085", "Journal of Pharmaceutical and Biomedical Analysis")</f>
        <v>Journal of Pharmaceutical and Biomedical Analysis</v>
      </c>
      <c r="C1843" s="1" t="s">
        <v>10</v>
      </c>
      <c r="D1843" s="1">
        <v>3680</v>
      </c>
      <c r="E1843" s="1">
        <v>3440</v>
      </c>
      <c r="F1843" s="1">
        <v>2950</v>
      </c>
      <c r="G1843" s="1">
        <v>456430</v>
      </c>
    </row>
    <row r="1844" spans="1:7" x14ac:dyDescent="0.25">
      <c r="A1844" s="1" t="s">
        <v>2059</v>
      </c>
      <c r="B1844" s="2" t="str">
        <f>HYPERLINK("https://www.elsevier.com/locate/issn/2949-771X", "Journal of Pharmaceutical and Biomedical Analysis Open")</f>
        <v>Journal of Pharmaceutical and Biomedical Analysis Open</v>
      </c>
      <c r="C1844" s="1" t="s">
        <v>23</v>
      </c>
      <c r="D1844" s="1">
        <v>1540</v>
      </c>
      <c r="E1844" s="1">
        <v>1440</v>
      </c>
      <c r="F1844" s="1">
        <v>1230</v>
      </c>
      <c r="G1844" s="1">
        <v>191010</v>
      </c>
    </row>
    <row r="1845" spans="1:7" x14ac:dyDescent="0.25">
      <c r="A1845" s="1" t="s">
        <v>2060</v>
      </c>
      <c r="B1845" s="2" t="str">
        <f>HYPERLINK("https://www.elsevier.com/locate/issn/0022-3549", "Journal of Pharmaceutical Sciences")</f>
        <v>Journal of Pharmaceutical Sciences</v>
      </c>
      <c r="C1845" s="1" t="s">
        <v>10</v>
      </c>
      <c r="D1845" s="1">
        <v>3620</v>
      </c>
      <c r="E1845" s="1">
        <v>3390</v>
      </c>
      <c r="F1845" s="1">
        <v>2900</v>
      </c>
      <c r="G1845" s="1">
        <v>448990</v>
      </c>
    </row>
    <row r="1846" spans="1:7" x14ac:dyDescent="0.25">
      <c r="A1846" s="1" t="s">
        <v>2061</v>
      </c>
      <c r="B1846" s="2" t="str">
        <f>HYPERLINK("https://www.elsevier.com/locate/issn/1056-8719", "Journal of Pharmacological and Toxicological Methods")</f>
        <v>Journal of Pharmacological and Toxicological Methods</v>
      </c>
      <c r="C1846" s="1" t="s">
        <v>10</v>
      </c>
      <c r="D1846" s="1">
        <v>3500</v>
      </c>
      <c r="E1846" s="1">
        <v>3270</v>
      </c>
      <c r="F1846" s="1">
        <v>2800</v>
      </c>
      <c r="G1846" s="1">
        <v>434110</v>
      </c>
    </row>
    <row r="1847" spans="1:7" x14ac:dyDescent="0.25">
      <c r="A1847" s="1" t="s">
        <v>2062</v>
      </c>
      <c r="B1847" s="2" t="str">
        <f>HYPERLINK("https://www.elsevier.com/locate/issn/1347-8613", "Journal of Pharmacological Sciences")</f>
        <v>Journal of Pharmacological Sciences</v>
      </c>
      <c r="C1847" s="1" t="s">
        <v>23</v>
      </c>
      <c r="D1847" s="1">
        <v>2760</v>
      </c>
      <c r="E1847" s="1">
        <v>2580</v>
      </c>
      <c r="F1847" s="1">
        <v>2210</v>
      </c>
      <c r="G1847" s="1">
        <v>342320</v>
      </c>
    </row>
    <row r="1848" spans="1:7" x14ac:dyDescent="0.25">
      <c r="A1848" s="1" t="s">
        <v>2063</v>
      </c>
      <c r="B1848" s="2" t="str">
        <f>HYPERLINK("https://www.elsevier.com/locate/issn/0095-4470", "Journal of Phonetics")</f>
        <v>Journal of Phonetics</v>
      </c>
      <c r="C1848" s="1" t="s">
        <v>10</v>
      </c>
      <c r="D1848" s="1">
        <v>3210</v>
      </c>
      <c r="E1848" s="1">
        <v>3000</v>
      </c>
      <c r="F1848" s="1">
        <v>2570</v>
      </c>
      <c r="G1848" s="1">
        <v>398140</v>
      </c>
    </row>
    <row r="1849" spans="1:7" x14ac:dyDescent="0.25">
      <c r="A1849" s="1" t="s">
        <v>2064</v>
      </c>
      <c r="B1849" s="2" t="str">
        <f>HYPERLINK("https://www.elsevier.com/locate/issn/2666-4690", "Journal of Photochemistry and Photobiology")</f>
        <v>Journal of Photochemistry and Photobiology</v>
      </c>
      <c r="C1849" s="1" t="s">
        <v>23</v>
      </c>
      <c r="D1849" s="1">
        <v>1920</v>
      </c>
      <c r="E1849" s="1">
        <v>1800</v>
      </c>
      <c r="F1849" s="1">
        <v>1540</v>
      </c>
      <c r="G1849" s="1">
        <v>238140</v>
      </c>
    </row>
    <row r="1850" spans="1:7" x14ac:dyDescent="0.25">
      <c r="A1850" s="1" t="s">
        <v>2065</v>
      </c>
      <c r="B1850" s="2" t="str">
        <f>HYPERLINK("https://www.elsevier.com/locate/issn/1010-6030", "Journal of Photochemistry and Photobiology A: Chemistry")</f>
        <v>Journal of Photochemistry and Photobiology A: Chemistry</v>
      </c>
      <c r="C1850" s="1" t="s">
        <v>10</v>
      </c>
      <c r="D1850" s="1">
        <v>3470</v>
      </c>
      <c r="E1850" s="1">
        <v>3250</v>
      </c>
      <c r="F1850" s="1">
        <v>2780</v>
      </c>
      <c r="G1850" s="1">
        <v>430380</v>
      </c>
    </row>
    <row r="1851" spans="1:7" x14ac:dyDescent="0.25">
      <c r="A1851" s="1" t="s">
        <v>2066</v>
      </c>
      <c r="B1851" s="2" t="str">
        <f>HYPERLINK("https://www.elsevier.com/locate/issn/1011-1344", "Journal of Photochemistry and Photobiology B: Biology")</f>
        <v>Journal of Photochemistry and Photobiology B: Biology</v>
      </c>
      <c r="C1851" s="1" t="s">
        <v>10</v>
      </c>
      <c r="D1851" s="1">
        <v>4110</v>
      </c>
      <c r="E1851" s="1">
        <v>3840</v>
      </c>
      <c r="F1851" s="1">
        <v>3290</v>
      </c>
      <c r="G1851" s="1">
        <v>509760</v>
      </c>
    </row>
    <row r="1852" spans="1:7" x14ac:dyDescent="0.25">
      <c r="A1852" s="1" t="s">
        <v>2067</v>
      </c>
      <c r="B1852" s="2" t="str">
        <f>HYPERLINK("https://www.elsevier.com/locate/issn/1389-5567", "Journal of Photochemistry and Photobiology C: Photochemistry Reviews")</f>
        <v>Journal of Photochemistry and Photobiology C: Photochemistry Reviews</v>
      </c>
      <c r="C1852" s="1" t="s">
        <v>10</v>
      </c>
      <c r="D1852" s="1">
        <v>4530</v>
      </c>
      <c r="E1852" s="1">
        <v>4240</v>
      </c>
      <c r="F1852" s="1">
        <v>3630</v>
      </c>
      <c r="G1852" s="1">
        <v>561860</v>
      </c>
    </row>
    <row r="1853" spans="1:7" x14ac:dyDescent="0.25">
      <c r="A1853" s="1" t="s">
        <v>2068</v>
      </c>
      <c r="B1853" s="2" t="str">
        <f>HYPERLINK("https://www.elsevier.com/locate/issn/0022-3697", "Journal of Physics and Chemistry of Solids")</f>
        <v>Journal of Physics and Chemistry of Solids</v>
      </c>
      <c r="C1853" s="1" t="s">
        <v>10</v>
      </c>
      <c r="D1853" s="1">
        <v>3230</v>
      </c>
      <c r="E1853" s="1">
        <v>3020</v>
      </c>
      <c r="F1853" s="1">
        <v>2590</v>
      </c>
      <c r="G1853" s="1">
        <v>400620</v>
      </c>
    </row>
    <row r="1854" spans="1:7" x14ac:dyDescent="0.25">
      <c r="A1854" s="1" t="s">
        <v>2069</v>
      </c>
      <c r="B1854" s="2" t="str">
        <f>HYPERLINK("https://www.elsevier.com/locate/issn/1836-9553", "Journal of Physiotherapy")</f>
        <v>Journal of Physiotherapy</v>
      </c>
      <c r="C1854" s="1" t="s">
        <v>23</v>
      </c>
      <c r="D1854" s="1">
        <v>3450</v>
      </c>
      <c r="E1854" s="1">
        <v>3230</v>
      </c>
      <c r="F1854" s="1">
        <v>2760</v>
      </c>
      <c r="G1854" s="1">
        <v>427900</v>
      </c>
    </row>
    <row r="1855" spans="1:7" x14ac:dyDescent="0.25">
      <c r="A1855" s="1" t="s">
        <v>2070</v>
      </c>
      <c r="B1855" s="2" t="str">
        <f>HYPERLINK("https://www.elsevier.com/locate/issn/2667-1433", "Journal of Pipeline Science and Engineering")</f>
        <v>Journal of Pipeline Science and Engineering</v>
      </c>
      <c r="C1855" s="1" t="s">
        <v>34</v>
      </c>
      <c r="D1855" s="1">
        <v>50</v>
      </c>
      <c r="E1855" s="1">
        <v>50</v>
      </c>
      <c r="F1855" s="1">
        <v>40</v>
      </c>
      <c r="G1855" s="1">
        <v>6200</v>
      </c>
    </row>
    <row r="1856" spans="1:7" x14ac:dyDescent="0.25">
      <c r="A1856" s="1" t="s">
        <v>2071</v>
      </c>
      <c r="B1856" s="2" t="str">
        <f>HYPERLINK("https://www.elsevier.com/locate/issn/0176-1617", "Journal of Plant Physiology")</f>
        <v>Journal of Plant Physiology</v>
      </c>
      <c r="C1856" s="1" t="s">
        <v>10</v>
      </c>
      <c r="D1856" s="1">
        <v>3370</v>
      </c>
      <c r="E1856" s="1">
        <v>3150</v>
      </c>
      <c r="F1856" s="1">
        <v>2700</v>
      </c>
      <c r="G1856" s="1">
        <v>417980</v>
      </c>
    </row>
    <row r="1857" spans="1:7" x14ac:dyDescent="0.25">
      <c r="A1857" s="1" t="s">
        <v>2072</v>
      </c>
      <c r="B1857" s="2" t="str">
        <f>HYPERLINK("https://www.elsevier.com/locate/issn/0161-8938", "Journal of Policy Modeling")</f>
        <v>Journal of Policy Modeling</v>
      </c>
      <c r="C1857" s="1" t="s">
        <v>10</v>
      </c>
      <c r="D1857" s="1">
        <v>1500</v>
      </c>
      <c r="E1857" s="1">
        <v>1400</v>
      </c>
      <c r="F1857" s="1">
        <v>1200</v>
      </c>
      <c r="G1857" s="1">
        <v>186050</v>
      </c>
    </row>
    <row r="1858" spans="1:7" x14ac:dyDescent="0.25">
      <c r="A1858" s="1" t="s">
        <v>2073</v>
      </c>
      <c r="B1858" s="2" t="str">
        <f>HYPERLINK("https://www.elsevier.com/locate/issn/0378-7753", "Journal of Power Sources")</f>
        <v>Journal of Power Sources</v>
      </c>
      <c r="C1858" s="1" t="s">
        <v>10</v>
      </c>
      <c r="D1858" s="1">
        <v>4230</v>
      </c>
      <c r="E1858" s="1">
        <v>3960</v>
      </c>
      <c r="F1858" s="1">
        <v>3390</v>
      </c>
      <c r="G1858" s="1">
        <v>524650</v>
      </c>
    </row>
    <row r="1859" spans="1:7" x14ac:dyDescent="0.25">
      <c r="A1859" s="1" t="s">
        <v>2074</v>
      </c>
      <c r="B1859" s="2" t="str">
        <f>HYPERLINK("https://www.elsevier.com/locate/issn/2666-2485", "Journal of Power Sources Advances")</f>
        <v>Journal of Power Sources Advances</v>
      </c>
      <c r="C1859" s="1" t="s">
        <v>23</v>
      </c>
      <c r="D1859" s="1">
        <v>3460</v>
      </c>
      <c r="E1859" s="1">
        <v>3240</v>
      </c>
      <c r="F1859" s="1">
        <v>2770</v>
      </c>
      <c r="G1859" s="1">
        <v>429140</v>
      </c>
    </row>
    <row r="1860" spans="1:7" x14ac:dyDescent="0.25">
      <c r="A1860" s="1" t="s">
        <v>2075</v>
      </c>
      <c r="B1860" s="2" t="str">
        <f>HYPERLINK("https://www.elsevier.com/locate/issn/0378-2166", "Journal of Pragmatics")</f>
        <v>Journal of Pragmatics</v>
      </c>
      <c r="C1860" s="1" t="s">
        <v>10</v>
      </c>
      <c r="D1860" s="1">
        <v>3260</v>
      </c>
      <c r="E1860" s="1">
        <v>3050</v>
      </c>
      <c r="F1860" s="1">
        <v>2610</v>
      </c>
      <c r="G1860" s="1">
        <v>404340</v>
      </c>
    </row>
    <row r="1861" spans="1:7" x14ac:dyDescent="0.25">
      <c r="A1861" s="1" t="s">
        <v>2076</v>
      </c>
      <c r="B1861" s="2" t="str">
        <f>HYPERLINK("https://www.elsevier.com/locate/issn/0959-1524", "Journal of Process Control")</f>
        <v>Journal of Process Control</v>
      </c>
      <c r="C1861" s="1" t="s">
        <v>10</v>
      </c>
      <c r="D1861" s="1">
        <v>3700</v>
      </c>
      <c r="E1861" s="1">
        <v>3460</v>
      </c>
      <c r="F1861" s="1">
        <v>2960</v>
      </c>
      <c r="G1861" s="1">
        <v>458910</v>
      </c>
    </row>
    <row r="1862" spans="1:7" x14ac:dyDescent="0.25">
      <c r="A1862" s="1" t="s">
        <v>2077</v>
      </c>
      <c r="B1862" s="2" t="str">
        <f>HYPERLINK("https://www.elsevier.com/locate/issn/8755-7223", "Journal of Professional Nursing")</f>
        <v>Journal of Professional Nursing</v>
      </c>
      <c r="C1862" s="1" t="s">
        <v>10</v>
      </c>
      <c r="D1862" s="1">
        <v>3500</v>
      </c>
      <c r="E1862" s="1">
        <v>3270</v>
      </c>
      <c r="F1862" s="1">
        <v>2800</v>
      </c>
      <c r="G1862" s="1">
        <v>434110</v>
      </c>
    </row>
    <row r="1863" spans="1:7" x14ac:dyDescent="0.25">
      <c r="A1863" s="1" t="s">
        <v>2078</v>
      </c>
      <c r="B1863" s="2" t="str">
        <f>HYPERLINK("https://www.elsevier.com/locate/issn/0022-3913", "The Journal of Prosthetic Dentistry")</f>
        <v>The Journal of Prosthetic Dentistry</v>
      </c>
      <c r="C1863" s="1" t="s">
        <v>10</v>
      </c>
      <c r="D1863" s="1">
        <v>3900</v>
      </c>
      <c r="E1863" s="1">
        <v>3650</v>
      </c>
      <c r="F1863" s="1">
        <v>3120</v>
      </c>
      <c r="G1863" s="1">
        <v>483720</v>
      </c>
    </row>
    <row r="1864" spans="1:7" x14ac:dyDescent="0.25">
      <c r="A1864" s="1" t="s">
        <v>2079</v>
      </c>
      <c r="B1864" s="2" t="str">
        <f>HYPERLINK("https://www.elsevier.com/locate/issn/1874-3919", "Journal of Proteomics")</f>
        <v>Journal of Proteomics</v>
      </c>
      <c r="C1864" s="1" t="s">
        <v>10</v>
      </c>
      <c r="D1864" s="1">
        <v>3570</v>
      </c>
      <c r="E1864" s="1">
        <v>3340</v>
      </c>
      <c r="F1864" s="1">
        <v>2860</v>
      </c>
      <c r="G1864" s="1">
        <v>442790</v>
      </c>
    </row>
    <row r="1865" spans="1:7" x14ac:dyDescent="0.25">
      <c r="A1865" s="1" t="s">
        <v>2080</v>
      </c>
      <c r="B1865" s="2" t="str">
        <f>HYPERLINK("https://www.elsevier.com/locate/issn/0022-3956", "Journal of Psychiatric Research")</f>
        <v>Journal of Psychiatric Research</v>
      </c>
      <c r="C1865" s="1" t="s">
        <v>10</v>
      </c>
      <c r="D1865" s="1">
        <v>3320</v>
      </c>
      <c r="E1865" s="1">
        <v>3110</v>
      </c>
      <c r="F1865" s="1">
        <v>2660</v>
      </c>
      <c r="G1865" s="1">
        <v>411780</v>
      </c>
    </row>
    <row r="1866" spans="1:7" x14ac:dyDescent="0.25">
      <c r="A1866" s="1" t="s">
        <v>2081</v>
      </c>
      <c r="B1866" s="2" t="str">
        <f>HYPERLINK("https://www.elsevier.com/locate/issn/0022-3999", "Journal of Psychosomatic Research")</f>
        <v>Journal of Psychosomatic Research</v>
      </c>
      <c r="C1866" s="1" t="s">
        <v>10</v>
      </c>
      <c r="D1866" s="1">
        <v>3760</v>
      </c>
      <c r="E1866" s="1">
        <v>3520</v>
      </c>
      <c r="F1866" s="1">
        <v>3010</v>
      </c>
      <c r="G1866" s="1">
        <v>466350</v>
      </c>
    </row>
    <row r="1867" spans="1:7" x14ac:dyDescent="0.25">
      <c r="A1867" s="1" t="s">
        <v>2082</v>
      </c>
      <c r="B1867" s="2" t="str">
        <f>HYPERLINK("https://www.elsevier.com/locate/issn/0047-2727", "Journal of Public Economics")</f>
        <v>Journal of Public Economics</v>
      </c>
      <c r="C1867" s="1" t="s">
        <v>10</v>
      </c>
      <c r="D1867" s="1">
        <v>4510</v>
      </c>
      <c r="E1867" s="1">
        <v>4220</v>
      </c>
      <c r="F1867" s="1">
        <v>3610</v>
      </c>
      <c r="G1867" s="1">
        <v>559380</v>
      </c>
    </row>
    <row r="1868" spans="1:7" x14ac:dyDescent="0.25">
      <c r="A1868" s="1" t="s">
        <v>2083</v>
      </c>
      <c r="B1868" s="2" t="str">
        <f>HYPERLINK("https://www.elsevier.com/locate/issn/2666-5514", "Journal of Public Economics Plus")</f>
        <v>Journal of Public Economics Plus</v>
      </c>
      <c r="C1868" s="1" t="s">
        <v>23</v>
      </c>
      <c r="D1868" s="1">
        <v>1500</v>
      </c>
      <c r="E1868" s="1">
        <v>1400</v>
      </c>
      <c r="F1868" s="1">
        <v>1200</v>
      </c>
      <c r="G1868" s="1">
        <v>186050</v>
      </c>
    </row>
    <row r="1869" spans="1:7" x14ac:dyDescent="0.25">
      <c r="A1869" s="1" t="s">
        <v>2084</v>
      </c>
      <c r="B1869" s="2" t="str">
        <f>HYPERLINK("https://www.elsevier.com/locate/issn/1077-291X", "Journal of Public Transportation")</f>
        <v>Journal of Public Transportation</v>
      </c>
      <c r="C1869" s="1" t="s">
        <v>23</v>
      </c>
      <c r="D1869" s="1">
        <v>2110</v>
      </c>
      <c r="E1869" s="1">
        <v>1970</v>
      </c>
      <c r="F1869" s="1">
        <v>1690</v>
      </c>
      <c r="G1869" s="1">
        <v>261700</v>
      </c>
    </row>
    <row r="1870" spans="1:7" x14ac:dyDescent="0.25">
      <c r="A1870" s="1" t="s">
        <v>2085</v>
      </c>
      <c r="B1870" s="2" t="str">
        <f>HYPERLINK("https://www.elsevier.com/locate/issn/1478-4092", "Journal of Purchasing and Supply Management")</f>
        <v>Journal of Purchasing and Supply Management</v>
      </c>
      <c r="C1870" s="1" t="s">
        <v>10</v>
      </c>
      <c r="D1870" s="1">
        <v>3280</v>
      </c>
      <c r="E1870" s="1">
        <v>3070</v>
      </c>
      <c r="F1870" s="1">
        <v>2630</v>
      </c>
      <c r="G1870" s="1">
        <v>406820</v>
      </c>
    </row>
    <row r="1871" spans="1:7" x14ac:dyDescent="0.25">
      <c r="A1871" s="1" t="s">
        <v>2086</v>
      </c>
      <c r="B1871" s="2" t="str">
        <f>HYPERLINK("https://www.elsevier.com/locate/issn/0022-4049", "Journal of Pure and Applied Algebra")</f>
        <v>Journal of Pure and Applied Algebra</v>
      </c>
      <c r="C1871" s="1" t="s">
        <v>10</v>
      </c>
      <c r="D1871" s="1">
        <v>3550</v>
      </c>
      <c r="E1871" s="1">
        <v>3320</v>
      </c>
      <c r="F1871" s="1">
        <v>2840</v>
      </c>
      <c r="G1871" s="1">
        <v>440310</v>
      </c>
    </row>
    <row r="1872" spans="1:7" x14ac:dyDescent="0.25">
      <c r="A1872" s="1" t="s">
        <v>2087</v>
      </c>
      <c r="B1872" s="2" t="str">
        <f>HYPERLINK("https://www.elsevier.com/locate/issn/0022-4073", "Journal of Quantitative Spectroscopy and Radiative Transfer")</f>
        <v>Journal of Quantitative Spectroscopy and Radiative Transfer</v>
      </c>
      <c r="C1872" s="1" t="s">
        <v>10</v>
      </c>
      <c r="D1872" s="1">
        <v>2870</v>
      </c>
      <c r="E1872" s="1">
        <v>2680</v>
      </c>
      <c r="F1872" s="1">
        <v>2300</v>
      </c>
      <c r="G1872" s="1">
        <v>355970</v>
      </c>
    </row>
    <row r="1873" spans="1:7" x14ac:dyDescent="0.25">
      <c r="A1873" s="1" t="s">
        <v>2088</v>
      </c>
      <c r="B1873" s="2" t="str">
        <f>HYPERLINK("https://www.elsevier.com/locate/issn/1546-0843", "Journal of Radiology Nursing")</f>
        <v>Journal of Radiology Nursing</v>
      </c>
      <c r="C1873" s="1" t="s">
        <v>10</v>
      </c>
      <c r="D1873" s="1">
        <v>2500</v>
      </c>
      <c r="E1873" s="1">
        <v>2340</v>
      </c>
      <c r="F1873" s="1">
        <v>2000</v>
      </c>
      <c r="G1873" s="1">
        <v>310080</v>
      </c>
    </row>
    <row r="1874" spans="1:7" x14ac:dyDescent="0.25">
      <c r="A1874" s="1" t="s">
        <v>2089</v>
      </c>
      <c r="B1874" s="2" t="str">
        <f>HYPERLINK("https://www.elsevier.com/locate/issn/2210-9706", "Journal of Rail Transport Planning &amp; Management")</f>
        <v>Journal of Rail Transport Planning &amp; Management</v>
      </c>
      <c r="C1874" s="1" t="s">
        <v>10</v>
      </c>
      <c r="D1874" s="1">
        <v>3070</v>
      </c>
      <c r="E1874" s="1">
        <v>2870</v>
      </c>
      <c r="F1874" s="1">
        <v>2460</v>
      </c>
      <c r="G1874" s="1">
        <v>380770</v>
      </c>
    </row>
    <row r="1875" spans="1:7" x14ac:dyDescent="0.25">
      <c r="A1875" s="1" t="s">
        <v>2090</v>
      </c>
      <c r="B1875" s="2" t="str">
        <f>HYPERLINK("https://www.elsevier.com/locate/issn/3050-8142", "Journal of Railway Science and Technology")</f>
        <v>Journal of Railway Science and Technology</v>
      </c>
      <c r="C1875" s="1" t="s">
        <v>34</v>
      </c>
      <c r="D1875" s="1" t="s">
        <v>324</v>
      </c>
      <c r="E1875" s="1" t="s">
        <v>324</v>
      </c>
      <c r="F1875" s="1" t="s">
        <v>324</v>
      </c>
      <c r="G1875" s="1" t="s">
        <v>324</v>
      </c>
    </row>
    <row r="1876" spans="1:7" x14ac:dyDescent="0.25">
      <c r="A1876" s="1" t="s">
        <v>2091</v>
      </c>
      <c r="B1876" s="2" t="str">
        <f>HYPERLINK("https://www.elsevier.com/locate/issn/1002-0721", "Journal of Rare Earths")</f>
        <v>Journal of Rare Earths</v>
      </c>
      <c r="C1876" s="1" t="s">
        <v>10</v>
      </c>
      <c r="D1876" s="1">
        <v>1530</v>
      </c>
      <c r="E1876" s="1">
        <v>1430</v>
      </c>
      <c r="F1876" s="1">
        <v>1220</v>
      </c>
      <c r="G1876" s="1">
        <v>189770</v>
      </c>
    </row>
    <row r="1877" spans="1:7" x14ac:dyDescent="0.25">
      <c r="A1877" s="1" t="s">
        <v>2092</v>
      </c>
      <c r="B1877" s="2" t="str">
        <f>HYPERLINK("https://www.elsevier.com/locate/issn/1051-2276", "Journal of Renal Nutrition")</f>
        <v>Journal of Renal Nutrition</v>
      </c>
      <c r="C1877" s="1" t="s">
        <v>10</v>
      </c>
      <c r="D1877" s="1">
        <v>3490</v>
      </c>
      <c r="E1877" s="1">
        <v>3260</v>
      </c>
      <c r="F1877" s="1">
        <v>2790</v>
      </c>
      <c r="G1877" s="1">
        <v>432860</v>
      </c>
    </row>
    <row r="1878" spans="1:7" x14ac:dyDescent="0.25">
      <c r="A1878" s="1" t="s">
        <v>2093</v>
      </c>
      <c r="B1878" s="2" t="str">
        <f>HYPERLINK("https://www.elsevier.com/locate/issn/0165-0378", "Journal of Reproductive Immunology")</f>
        <v>Journal of Reproductive Immunology</v>
      </c>
      <c r="C1878" s="1" t="s">
        <v>10</v>
      </c>
      <c r="D1878" s="1">
        <v>3690</v>
      </c>
      <c r="E1878" s="1">
        <v>3450</v>
      </c>
      <c r="F1878" s="1">
        <v>2950</v>
      </c>
      <c r="G1878" s="1">
        <v>457670</v>
      </c>
    </row>
    <row r="1879" spans="1:7" x14ac:dyDescent="0.25">
      <c r="A1879" s="1" t="s">
        <v>2094</v>
      </c>
      <c r="B1879" s="2" t="str">
        <f>HYPERLINK("https://www.elsevier.com/locate/issn/0092-6566", "Journal of Research in Personality")</f>
        <v>Journal of Research in Personality</v>
      </c>
      <c r="C1879" s="1" t="s">
        <v>10</v>
      </c>
      <c r="D1879" s="1">
        <v>3330</v>
      </c>
      <c r="E1879" s="1">
        <v>3120</v>
      </c>
      <c r="F1879" s="1">
        <v>2670</v>
      </c>
      <c r="G1879" s="1">
        <v>413020</v>
      </c>
    </row>
    <row r="1880" spans="1:7" x14ac:dyDescent="0.25">
      <c r="A1880" s="1" t="s">
        <v>2095</v>
      </c>
      <c r="B1880" s="2" t="str">
        <f>HYPERLINK("https://www.elsevier.com/locate/issn/3050-516X", "Journal of Resource Insects")</f>
        <v>Journal of Resource Insects</v>
      </c>
      <c r="C1880" s="1" t="s">
        <v>34</v>
      </c>
      <c r="D1880" s="1" t="s">
        <v>324</v>
      </c>
      <c r="E1880" s="1" t="s">
        <v>324</v>
      </c>
      <c r="F1880" s="1" t="s">
        <v>324</v>
      </c>
      <c r="G1880" s="1" t="s">
        <v>324</v>
      </c>
    </row>
    <row r="1881" spans="1:7" x14ac:dyDescent="0.25">
      <c r="A1881" s="1" t="s">
        <v>2096</v>
      </c>
      <c r="B1881" s="2" t="str">
        <f>HYPERLINK("https://www.elsevier.com/locate/issn/2666-6596", "Journal of Responsible Technology")</f>
        <v>Journal of Responsible Technology</v>
      </c>
      <c r="C1881" s="1" t="s">
        <v>23</v>
      </c>
      <c r="D1881" s="1">
        <v>1560</v>
      </c>
      <c r="E1881" s="1">
        <v>1460</v>
      </c>
      <c r="F1881" s="1">
        <v>1250</v>
      </c>
      <c r="G1881" s="1">
        <v>193490</v>
      </c>
    </row>
    <row r="1882" spans="1:7" x14ac:dyDescent="0.25">
      <c r="A1882" s="1" t="s">
        <v>2097</v>
      </c>
      <c r="B1882" s="2" t="str">
        <f>HYPERLINK("https://www.elsevier.com/locate/issn/0022-4359", "Journal of Retailing")</f>
        <v>Journal of Retailing</v>
      </c>
      <c r="C1882" s="1" t="s">
        <v>10</v>
      </c>
      <c r="D1882" s="1">
        <v>3030</v>
      </c>
      <c r="E1882" s="1">
        <v>2830</v>
      </c>
      <c r="F1882" s="1">
        <v>2430</v>
      </c>
      <c r="G1882" s="1">
        <v>375810</v>
      </c>
    </row>
    <row r="1883" spans="1:7" x14ac:dyDescent="0.25">
      <c r="A1883" s="1" t="s">
        <v>2098</v>
      </c>
      <c r="B1883" s="2" t="str">
        <f>HYPERLINK("https://www.elsevier.com/locate/issn/0969-6989", "Journal of Retailing and Consumer Services")</f>
        <v>Journal of Retailing and Consumer Services</v>
      </c>
      <c r="C1883" s="1" t="s">
        <v>10</v>
      </c>
      <c r="D1883" s="1">
        <v>4510</v>
      </c>
      <c r="E1883" s="1">
        <v>4220</v>
      </c>
      <c r="F1883" s="1">
        <v>3610</v>
      </c>
      <c r="G1883" s="1">
        <v>559380</v>
      </c>
    </row>
    <row r="1884" spans="1:7" x14ac:dyDescent="0.25">
      <c r="A1884" s="1" t="s">
        <v>2099</v>
      </c>
      <c r="B1884" s="2" t="str">
        <f>HYPERLINK("https://www.elsevier.com/locate/issn/2097-0498", "Journal of Road Engineering")</f>
        <v>Journal of Road Engineering</v>
      </c>
      <c r="C1884" s="1" t="s">
        <v>34</v>
      </c>
      <c r="D1884" s="1" t="s">
        <v>324</v>
      </c>
      <c r="E1884" s="1" t="s">
        <v>324</v>
      </c>
      <c r="F1884" s="1" t="s">
        <v>324</v>
      </c>
      <c r="G1884" s="1" t="s">
        <v>324</v>
      </c>
    </row>
    <row r="1885" spans="1:7" x14ac:dyDescent="0.25">
      <c r="A1885" s="1" t="s">
        <v>2100</v>
      </c>
      <c r="B1885" s="2" t="str">
        <f>HYPERLINK("https://www.elsevier.com/locate/issn/1674-7755", "Journal of Rock Mechanics and Geotechnical Engineering")</f>
        <v>Journal of Rock Mechanics and Geotechnical Engineering</v>
      </c>
      <c r="C1885" s="1" t="s">
        <v>34</v>
      </c>
      <c r="D1885" s="1" t="s">
        <v>324</v>
      </c>
      <c r="E1885" s="1" t="s">
        <v>324</v>
      </c>
      <c r="F1885" s="1" t="s">
        <v>324</v>
      </c>
      <c r="G1885" s="1" t="s">
        <v>324</v>
      </c>
    </row>
    <row r="1886" spans="1:7" x14ac:dyDescent="0.25">
      <c r="A1886" s="1" t="s">
        <v>2101</v>
      </c>
      <c r="B1886" s="2" t="str">
        <f>HYPERLINK("https://www.elsevier.com/locate/issn/0743-0167", "Journal of Rural Studies")</f>
        <v>Journal of Rural Studies</v>
      </c>
      <c r="C1886" s="1" t="s">
        <v>10</v>
      </c>
      <c r="D1886" s="1">
        <v>4090</v>
      </c>
      <c r="E1886" s="1">
        <v>3830</v>
      </c>
      <c r="F1886" s="1">
        <v>3270</v>
      </c>
      <c r="G1886" s="1">
        <v>507280</v>
      </c>
    </row>
    <row r="1887" spans="1:7" x14ac:dyDescent="0.25">
      <c r="A1887" s="1" t="s">
        <v>2102</v>
      </c>
      <c r="B1887" s="2" t="str">
        <f>HYPERLINK("https://www.elsevier.com/locate/issn/2949-9267", "Journal of Safety and Sustainability")</f>
        <v>Journal of Safety and Sustainability</v>
      </c>
      <c r="C1887" s="1" t="s">
        <v>23</v>
      </c>
      <c r="D1887" s="1">
        <v>2000</v>
      </c>
      <c r="E1887" s="1">
        <v>1870</v>
      </c>
      <c r="F1887" s="1">
        <v>1600</v>
      </c>
      <c r="G1887" s="1">
        <v>248060</v>
      </c>
    </row>
    <row r="1888" spans="1:7" x14ac:dyDescent="0.25">
      <c r="A1888" s="1" t="s">
        <v>2103</v>
      </c>
      <c r="B1888" s="2" t="str">
        <f>HYPERLINK("https://www.elsevier.com/locate/issn/0022-4375", "Journal of Safety Research")</f>
        <v>Journal of Safety Research</v>
      </c>
      <c r="C1888" s="1" t="s">
        <v>10</v>
      </c>
      <c r="D1888" s="1">
        <v>3220</v>
      </c>
      <c r="E1888" s="1">
        <v>3010</v>
      </c>
      <c r="F1888" s="1">
        <v>2580</v>
      </c>
      <c r="G1888" s="1">
        <v>399380</v>
      </c>
    </row>
    <row r="1889" spans="1:7" x14ac:dyDescent="0.25">
      <c r="A1889" s="1" t="s">
        <v>2104</v>
      </c>
      <c r="B1889" s="2" t="str">
        <f>HYPERLINK("https://www.elsevier.com/locate/issn/2666-4496", "Journal of Safety Science and Resilience")</f>
        <v>Journal of Safety Science and Resilience</v>
      </c>
      <c r="C1889" s="1" t="s">
        <v>34</v>
      </c>
      <c r="D1889" s="1">
        <v>1200</v>
      </c>
      <c r="E1889" s="1">
        <v>1120</v>
      </c>
      <c r="F1889" s="1">
        <v>960</v>
      </c>
      <c r="G1889" s="1">
        <v>148840</v>
      </c>
    </row>
    <row r="1890" spans="1:7" x14ac:dyDescent="0.25">
      <c r="A1890" s="1" t="s">
        <v>2105</v>
      </c>
      <c r="B1890" s="2" t="str">
        <f>HYPERLINK("https://www.elsevier.com/locate/issn/1319-6103", "Journal of Saudi Chemical Society")</f>
        <v>Journal of Saudi Chemical Society</v>
      </c>
      <c r="C1890" s="1" t="s">
        <v>23</v>
      </c>
      <c r="D1890" s="1">
        <v>1490</v>
      </c>
      <c r="E1890" s="1">
        <v>1390</v>
      </c>
      <c r="F1890" s="1">
        <v>1190</v>
      </c>
      <c r="G1890" s="1">
        <v>184800</v>
      </c>
    </row>
    <row r="1891" spans="1:7" x14ac:dyDescent="0.25">
      <c r="A1891" s="1" t="s">
        <v>2106</v>
      </c>
      <c r="B1891" s="2" t="str">
        <f>HYPERLINK("https://www.elsevier.com/locate/issn/0022-4405", "Journal of School Psychology")</f>
        <v>Journal of School Psychology</v>
      </c>
      <c r="C1891" s="1" t="s">
        <v>10</v>
      </c>
      <c r="D1891" s="1">
        <v>4030</v>
      </c>
      <c r="E1891" s="1">
        <v>3770</v>
      </c>
      <c r="F1891" s="1">
        <v>3230</v>
      </c>
      <c r="G1891" s="1">
        <v>499840</v>
      </c>
    </row>
    <row r="1892" spans="1:7" x14ac:dyDescent="0.25">
      <c r="A1892" s="1" t="s">
        <v>2107</v>
      </c>
      <c r="B1892" s="2" t="str">
        <f>HYPERLINK("https://www.elsevier.com/locate/issn/1440-2440", "Journal of Science and Medicine in Sport")</f>
        <v>Journal of Science and Medicine in Sport</v>
      </c>
      <c r="C1892" s="1" t="s">
        <v>10</v>
      </c>
      <c r="D1892" s="1">
        <v>3720</v>
      </c>
      <c r="E1892" s="1">
        <v>3480</v>
      </c>
      <c r="F1892" s="1">
        <v>2980</v>
      </c>
      <c r="G1892" s="1">
        <v>461390</v>
      </c>
    </row>
    <row r="1893" spans="1:7" x14ac:dyDescent="0.25">
      <c r="A1893" s="1" t="s">
        <v>2108</v>
      </c>
      <c r="B1893" s="2" t="str">
        <f>HYPERLINK("https://www.elsevier.com/locate/issn/2468-2179", "Journal of Science: Advanced Materials and Devices")</f>
        <v>Journal of Science: Advanced Materials and Devices</v>
      </c>
      <c r="C1893" s="1" t="s">
        <v>23</v>
      </c>
      <c r="D1893" s="1">
        <v>1300</v>
      </c>
      <c r="E1893" s="1">
        <v>1220</v>
      </c>
      <c r="F1893" s="1">
        <v>1040</v>
      </c>
      <c r="G1893" s="1">
        <v>161240</v>
      </c>
    </row>
    <row r="1894" spans="1:7" x14ac:dyDescent="0.25">
      <c r="A1894" s="1" t="s">
        <v>2109</v>
      </c>
      <c r="B1894" s="2" t="str">
        <f>HYPERLINK("https://www.elsevier.com/locate/issn/1385-1101", "Journal of Sea Research")</f>
        <v>Journal of Sea Research</v>
      </c>
      <c r="C1894" s="1" t="s">
        <v>23</v>
      </c>
      <c r="D1894" s="1">
        <v>2610</v>
      </c>
      <c r="E1894" s="1">
        <v>2440</v>
      </c>
      <c r="F1894" s="1">
        <v>2090</v>
      </c>
      <c r="G1894" s="1">
        <v>323720</v>
      </c>
    </row>
    <row r="1895" spans="1:7" x14ac:dyDescent="0.25">
      <c r="A1895" s="1" t="s">
        <v>2110</v>
      </c>
      <c r="B1895" s="2" t="str">
        <f>HYPERLINK("https://www.elsevier.com/locate/issn/1060-3743", "Journal of Second Language Writing")</f>
        <v>Journal of Second Language Writing</v>
      </c>
      <c r="C1895" s="1" t="s">
        <v>10</v>
      </c>
      <c r="D1895" s="1">
        <v>3830</v>
      </c>
      <c r="E1895" s="1">
        <v>3580</v>
      </c>
      <c r="F1895" s="1">
        <v>3070</v>
      </c>
      <c r="G1895" s="1">
        <v>475030</v>
      </c>
    </row>
    <row r="1896" spans="1:7" x14ac:dyDescent="0.25">
      <c r="A1896" s="1" t="s">
        <v>2111</v>
      </c>
      <c r="B1896" s="2" t="str">
        <f>HYPERLINK("https://www.elsevier.com/locate/issn/1058-2746", "Journal of Shoulder and Elbow Surgery")</f>
        <v>Journal of Shoulder and Elbow Surgery</v>
      </c>
      <c r="C1896" s="1" t="s">
        <v>10</v>
      </c>
      <c r="D1896" s="1">
        <v>3850</v>
      </c>
      <c r="E1896" s="1">
        <v>3600</v>
      </c>
      <c r="F1896" s="1">
        <v>3080</v>
      </c>
      <c r="G1896" s="1">
        <v>477520</v>
      </c>
    </row>
    <row r="1897" spans="1:7" x14ac:dyDescent="0.25">
      <c r="A1897" s="1" t="s">
        <v>2112</v>
      </c>
      <c r="B1897" s="2" t="str">
        <f>HYPERLINK("https://www.elsevier.com/locate/issn/0022-4596", "Journal of Solid State Chemistry")</f>
        <v>Journal of Solid State Chemistry</v>
      </c>
      <c r="C1897" s="1" t="s">
        <v>10</v>
      </c>
      <c r="D1897" s="1">
        <v>3540</v>
      </c>
      <c r="E1897" s="1">
        <v>3310</v>
      </c>
      <c r="F1897" s="1">
        <v>2830</v>
      </c>
      <c r="G1897" s="1">
        <v>439070</v>
      </c>
    </row>
    <row r="1898" spans="1:7" x14ac:dyDescent="0.25">
      <c r="A1898" s="1" t="s">
        <v>2113</v>
      </c>
      <c r="B1898" s="2" t="str">
        <f>HYPERLINK("https://www.elsevier.com/locate/issn/0022-460X", "Journal of Sound and Vibration")</f>
        <v>Journal of Sound and Vibration</v>
      </c>
      <c r="C1898" s="1" t="s">
        <v>10</v>
      </c>
      <c r="D1898" s="1">
        <v>4190</v>
      </c>
      <c r="E1898" s="1">
        <v>3920</v>
      </c>
      <c r="F1898" s="1">
        <v>3350</v>
      </c>
      <c r="G1898" s="1">
        <v>519690</v>
      </c>
    </row>
    <row r="1899" spans="1:7" x14ac:dyDescent="0.25">
      <c r="A1899" s="1" t="s">
        <v>2114</v>
      </c>
      <c r="B1899" s="2" t="str">
        <f>HYPERLINK("https://www.elsevier.com/locate/issn/0895-9811", "Journal of South American Earth Sciences")</f>
        <v>Journal of South American Earth Sciences</v>
      </c>
      <c r="C1899" s="1" t="s">
        <v>10</v>
      </c>
      <c r="D1899" s="1">
        <v>2940</v>
      </c>
      <c r="E1899" s="1">
        <v>2750</v>
      </c>
      <c r="F1899" s="1">
        <v>2350</v>
      </c>
      <c r="G1899" s="1">
        <v>364650</v>
      </c>
    </row>
    <row r="1900" spans="1:7" x14ac:dyDescent="0.25">
      <c r="A1900" s="1" t="s">
        <v>2115</v>
      </c>
      <c r="B1900" s="2" t="str">
        <f>HYPERLINK("https://www.elsevier.com/locate/issn/2468-8967", "Journal of Space Safety Engineering")</f>
        <v>Journal of Space Safety Engineering</v>
      </c>
      <c r="C1900" s="1" t="s">
        <v>10</v>
      </c>
      <c r="D1900" s="1">
        <v>2450</v>
      </c>
      <c r="E1900" s="1">
        <v>2290</v>
      </c>
      <c r="F1900" s="1">
        <v>1960</v>
      </c>
      <c r="G1900" s="1">
        <v>303870</v>
      </c>
    </row>
    <row r="1901" spans="1:7" x14ac:dyDescent="0.25">
      <c r="A1901" s="1" t="s">
        <v>2116</v>
      </c>
      <c r="B1901" s="2" t="str">
        <f>HYPERLINK("https://www.elsevier.com/locate/issn/2095-2546", "Journal of Sport and Health Science")</f>
        <v>Journal of Sport and Health Science</v>
      </c>
      <c r="C1901" s="1" t="s">
        <v>34</v>
      </c>
      <c r="D1901" s="1" t="s">
        <v>324</v>
      </c>
      <c r="E1901" s="1" t="s">
        <v>324</v>
      </c>
      <c r="F1901" s="1" t="s">
        <v>324</v>
      </c>
      <c r="G1901" s="1" t="s">
        <v>324</v>
      </c>
    </row>
    <row r="1902" spans="1:7" x14ac:dyDescent="0.25">
      <c r="A1902" s="1" t="s">
        <v>2117</v>
      </c>
      <c r="B1902" s="2" t="str">
        <f>HYPERLINK("https://www.elsevier.com/locate/issn/0378-3758", "Journal of Statistical Planning and Inference")</f>
        <v>Journal of Statistical Planning and Inference</v>
      </c>
      <c r="C1902" s="1" t="s">
        <v>10</v>
      </c>
      <c r="D1902" s="1">
        <v>3230</v>
      </c>
      <c r="E1902" s="1">
        <v>3020</v>
      </c>
      <c r="F1902" s="1">
        <v>2590</v>
      </c>
      <c r="G1902" s="1">
        <v>400620</v>
      </c>
    </row>
    <row r="1903" spans="1:7" x14ac:dyDescent="0.25">
      <c r="A1903" s="1" t="s">
        <v>2118</v>
      </c>
      <c r="B1903" s="2" t="str">
        <f>HYPERLINK("https://www.elsevier.com/locate/issn/0022-474X", "Journal of Stored Products Research")</f>
        <v>Journal of Stored Products Research</v>
      </c>
      <c r="C1903" s="1" t="s">
        <v>10</v>
      </c>
      <c r="D1903" s="1">
        <v>4190</v>
      </c>
      <c r="E1903" s="1">
        <v>3920</v>
      </c>
      <c r="F1903" s="1">
        <v>3350</v>
      </c>
      <c r="G1903" s="1">
        <v>519690</v>
      </c>
    </row>
    <row r="1904" spans="1:7" x14ac:dyDescent="0.25">
      <c r="A1904" s="1" t="s">
        <v>2119</v>
      </c>
      <c r="B1904" s="2" t="str">
        <f>HYPERLINK("https://www.elsevier.com/locate/issn/1052-3057", "Journal of Stroke and Cerebrovascular Diseases")</f>
        <v>Journal of Stroke and Cerebrovascular Diseases</v>
      </c>
      <c r="C1904" s="1" t="s">
        <v>23</v>
      </c>
      <c r="D1904" s="1">
        <v>2170</v>
      </c>
      <c r="E1904" s="1">
        <v>2030</v>
      </c>
      <c r="F1904" s="1">
        <v>1740</v>
      </c>
      <c r="G1904" s="1">
        <v>269150</v>
      </c>
    </row>
    <row r="1905" spans="1:7" x14ac:dyDescent="0.25">
      <c r="A1905" s="1" t="s">
        <v>2120</v>
      </c>
      <c r="B1905" s="2" t="str">
        <f>HYPERLINK("https://www.elsevier.com/locate/issn/1047-8477", "Journal of Structural Biology")</f>
        <v>Journal of Structural Biology</v>
      </c>
      <c r="C1905" s="1" t="s">
        <v>10</v>
      </c>
      <c r="D1905" s="1">
        <v>4350</v>
      </c>
      <c r="E1905" s="1">
        <v>4070</v>
      </c>
      <c r="F1905" s="1">
        <v>3480</v>
      </c>
      <c r="G1905" s="1">
        <v>539530</v>
      </c>
    </row>
    <row r="1906" spans="1:7" x14ac:dyDescent="0.25">
      <c r="A1906" s="1" t="s">
        <v>2121</v>
      </c>
      <c r="B1906" s="2" t="str">
        <f>HYPERLINK("https://www.elsevier.com/locate/issn/2590-1524", "Journal of Structural Biology: X")</f>
        <v>Journal of Structural Biology: X</v>
      </c>
      <c r="C1906" s="1" t="s">
        <v>23</v>
      </c>
      <c r="D1906" s="1">
        <v>3020</v>
      </c>
      <c r="E1906" s="1">
        <v>2830</v>
      </c>
      <c r="F1906" s="1">
        <v>2420</v>
      </c>
      <c r="G1906" s="1">
        <v>374570</v>
      </c>
    </row>
    <row r="1907" spans="1:7" x14ac:dyDescent="0.25">
      <c r="A1907" s="1" t="s">
        <v>2122</v>
      </c>
      <c r="B1907" s="2" t="str">
        <f>HYPERLINK("https://www.elsevier.com/locate/issn/0191-8141", "Journal of Structural Geology")</f>
        <v>Journal of Structural Geology</v>
      </c>
      <c r="C1907" s="1" t="s">
        <v>10</v>
      </c>
      <c r="D1907" s="1">
        <v>3380</v>
      </c>
      <c r="E1907" s="1">
        <v>3160</v>
      </c>
      <c r="F1907" s="1">
        <v>2710</v>
      </c>
      <c r="G1907" s="1">
        <v>419220</v>
      </c>
    </row>
    <row r="1908" spans="1:7" x14ac:dyDescent="0.25">
      <c r="A1908" s="1" t="s">
        <v>2123</v>
      </c>
      <c r="B1908" s="2" t="str">
        <f>HYPERLINK("https://www.elsevier.com/locate/issn/3050-4805", "Journal of Subatomic Particles and Cosmology")</f>
        <v>Journal of Subatomic Particles and Cosmology</v>
      </c>
      <c r="C1908" s="1" t="s">
        <v>10</v>
      </c>
      <c r="D1908" s="1">
        <v>1800</v>
      </c>
      <c r="E1908" s="1">
        <v>1680</v>
      </c>
      <c r="F1908" s="1">
        <v>1440</v>
      </c>
      <c r="G1908" s="1">
        <v>223250</v>
      </c>
    </row>
    <row r="1909" spans="1:7" x14ac:dyDescent="0.25">
      <c r="A1909" s="1" t="s">
        <v>2124</v>
      </c>
      <c r="B1909" s="2" t="str">
        <f>HYPERLINK("https://www.elsevier.com/locate/issn/2949-8759", "Journal of Substance Use and Addiction Treatment")</f>
        <v>Journal of Substance Use and Addiction Treatment</v>
      </c>
      <c r="C1909" s="1" t="s">
        <v>10</v>
      </c>
      <c r="D1909" s="1">
        <v>3440</v>
      </c>
      <c r="E1909" s="1">
        <v>3220</v>
      </c>
      <c r="F1909" s="1">
        <v>2750</v>
      </c>
      <c r="G1909" s="1">
        <v>426660</v>
      </c>
    </row>
    <row r="1910" spans="1:7" x14ac:dyDescent="0.25">
      <c r="A1910" s="1" t="s">
        <v>2125</v>
      </c>
      <c r="B1910" s="2" t="str">
        <f>HYPERLINK("https://www.elsevier.com/locate/issn/1931-7204", "Journal of Surgical Education")</f>
        <v>Journal of Surgical Education</v>
      </c>
      <c r="C1910" s="1" t="s">
        <v>10</v>
      </c>
      <c r="D1910" s="1">
        <v>3790</v>
      </c>
      <c r="E1910" s="1">
        <v>3550</v>
      </c>
      <c r="F1910" s="1">
        <v>3030</v>
      </c>
      <c r="G1910" s="1">
        <v>470070</v>
      </c>
    </row>
    <row r="1911" spans="1:7" x14ac:dyDescent="0.25">
      <c r="A1911" s="1" t="s">
        <v>2126</v>
      </c>
      <c r="B1911" s="2" t="str">
        <f>HYPERLINK("https://www.elsevier.com/locate/issn/0022-4804", "Journal of Surgical Research")</f>
        <v>Journal of Surgical Research</v>
      </c>
      <c r="C1911" s="1" t="s">
        <v>10</v>
      </c>
      <c r="D1911" s="1">
        <v>3590</v>
      </c>
      <c r="E1911" s="1">
        <v>3360</v>
      </c>
      <c r="F1911" s="1">
        <v>2870</v>
      </c>
      <c r="G1911" s="1">
        <v>445270</v>
      </c>
    </row>
    <row r="1912" spans="1:7" x14ac:dyDescent="0.25">
      <c r="A1912" s="1" t="s">
        <v>2127</v>
      </c>
      <c r="B1912" s="2" t="str">
        <f>HYPERLINK("https://www.elsevier.com/locate/issn/2950-3701", "Journal of Sustainable Finance and Accounting")</f>
        <v>Journal of Sustainable Finance and Accounting</v>
      </c>
      <c r="C1912" s="1" t="s">
        <v>10</v>
      </c>
      <c r="D1912" s="1">
        <v>2900</v>
      </c>
      <c r="E1912" s="1">
        <v>2710</v>
      </c>
      <c r="F1912" s="1">
        <v>2320</v>
      </c>
      <c r="G1912" s="1">
        <v>359690</v>
      </c>
    </row>
    <row r="1913" spans="1:7" x14ac:dyDescent="0.25">
      <c r="A1913" s="1" t="s">
        <v>2128</v>
      </c>
      <c r="B1913" s="2" t="str">
        <f>HYPERLINK("https://www.elsevier.com/locate/issn/0747-7171", "Journal of Symbolic Computation")</f>
        <v>Journal of Symbolic Computation</v>
      </c>
      <c r="C1913" s="1" t="s">
        <v>10</v>
      </c>
      <c r="D1913" s="1">
        <v>3160</v>
      </c>
      <c r="E1913" s="1">
        <v>2960</v>
      </c>
      <c r="F1913" s="1">
        <v>2530</v>
      </c>
      <c r="G1913" s="1">
        <v>391930</v>
      </c>
    </row>
    <row r="1914" spans="1:7" x14ac:dyDescent="0.25">
      <c r="A1914" s="1" t="s">
        <v>2129</v>
      </c>
      <c r="B1914" s="2" t="str">
        <f>HYPERLINK("https://www.elsevier.com/locate/issn/0164-1212", "Journal of Systems and Software")</f>
        <v>Journal of Systems and Software</v>
      </c>
      <c r="C1914" s="1" t="s">
        <v>10</v>
      </c>
      <c r="D1914" s="1">
        <v>3820</v>
      </c>
      <c r="E1914" s="1">
        <v>3570</v>
      </c>
      <c r="F1914" s="1">
        <v>3060</v>
      </c>
      <c r="G1914" s="1">
        <v>473790</v>
      </c>
    </row>
    <row r="1915" spans="1:7" x14ac:dyDescent="0.25">
      <c r="A1915" s="1" t="s">
        <v>2130</v>
      </c>
      <c r="B1915" s="2" t="str">
        <f>HYPERLINK("https://www.elsevier.com/locate/issn/1383-7621", "Journal of Systems Architecture")</f>
        <v>Journal of Systems Architecture</v>
      </c>
      <c r="C1915" s="1" t="s">
        <v>10</v>
      </c>
      <c r="D1915" s="1">
        <v>2540</v>
      </c>
      <c r="E1915" s="1">
        <v>2380</v>
      </c>
      <c r="F1915" s="1">
        <v>2030</v>
      </c>
      <c r="G1915" s="1">
        <v>315040</v>
      </c>
    </row>
    <row r="1916" spans="1:7" x14ac:dyDescent="0.25">
      <c r="A1916" s="1" t="s">
        <v>2131</v>
      </c>
      <c r="B1916" s="2" t="str">
        <f>HYPERLINK("https://www.elsevier.com/locate/issn/1658-3612", "Journal of Taibah University Medical Sciences")</f>
        <v>Journal of Taibah University Medical Sciences</v>
      </c>
      <c r="C1916" s="1" t="s">
        <v>23</v>
      </c>
      <c r="D1916" s="1">
        <v>625</v>
      </c>
      <c r="E1916" s="1">
        <v>580</v>
      </c>
      <c r="F1916" s="1">
        <v>500</v>
      </c>
      <c r="G1916" s="1">
        <v>77520</v>
      </c>
    </row>
    <row r="1917" spans="1:7" x14ac:dyDescent="0.25">
      <c r="A1917" s="1" t="s">
        <v>2132</v>
      </c>
      <c r="B1917" s="2" t="str">
        <f>HYPERLINK("https://www.elsevier.com/locate/issn/0022-4898", "Journal of Terramechanics")</f>
        <v>Journal of Terramechanics</v>
      </c>
      <c r="C1917" s="1" t="s">
        <v>10</v>
      </c>
      <c r="D1917" s="1">
        <v>3190</v>
      </c>
      <c r="E1917" s="1">
        <v>2980</v>
      </c>
      <c r="F1917" s="1">
        <v>2550</v>
      </c>
      <c r="G1917" s="1">
        <v>395660</v>
      </c>
    </row>
    <row r="1918" spans="1:7" x14ac:dyDescent="0.25">
      <c r="A1918" s="1" t="s">
        <v>2133</v>
      </c>
      <c r="B1918" s="2" t="str">
        <f>HYPERLINK("https://www.elsevier.com/locate/issn/2667-2960", "Journal of the Academy of Consultation-Liaison Psychiatry")</f>
        <v>Journal of the Academy of Consultation-Liaison Psychiatry</v>
      </c>
      <c r="C1918" s="1" t="s">
        <v>10</v>
      </c>
      <c r="D1918" s="1">
        <v>3000</v>
      </c>
      <c r="E1918" s="1">
        <v>2810</v>
      </c>
      <c r="F1918" s="1">
        <v>2400</v>
      </c>
      <c r="G1918" s="1">
        <v>372090</v>
      </c>
    </row>
    <row r="1919" spans="1:7" x14ac:dyDescent="0.25">
      <c r="A1919" s="1" t="s">
        <v>2134</v>
      </c>
      <c r="B1919" s="2" t="str">
        <f>HYPERLINK("https://www.elsevier.com/locate/issn/2212-2672", "Journal of the Academy of Nutrition and Dietetics")</f>
        <v>Journal of the Academy of Nutrition and Dietetics</v>
      </c>
      <c r="C1919" s="1" t="s">
        <v>10</v>
      </c>
      <c r="D1919" s="1">
        <v>3740</v>
      </c>
      <c r="E1919" s="1">
        <v>3500</v>
      </c>
      <c r="F1919" s="1">
        <v>2990</v>
      </c>
      <c r="G1919" s="1">
        <v>463870</v>
      </c>
    </row>
    <row r="1920" spans="1:7" x14ac:dyDescent="0.25">
      <c r="A1920" s="1" t="s">
        <v>2135</v>
      </c>
      <c r="B1920" s="2" t="str">
        <f>HYPERLINK("https://www.elsevier.com/locate/issn/2941-198X", "Journal of the Air Transport Research Society")</f>
        <v>Journal of the Air Transport Research Society</v>
      </c>
      <c r="C1920" s="1" t="s">
        <v>23</v>
      </c>
      <c r="D1920" s="1">
        <v>1600</v>
      </c>
      <c r="E1920" s="1">
        <v>1500</v>
      </c>
      <c r="F1920" s="1">
        <v>1280</v>
      </c>
      <c r="G1920" s="1">
        <v>198450</v>
      </c>
    </row>
    <row r="1921" spans="1:7" x14ac:dyDescent="0.25">
      <c r="A1921" s="1" t="s">
        <v>2136</v>
      </c>
      <c r="B1921" s="2" t="str">
        <f>HYPERLINK("https://www.elsevier.com/locate/issn/0890-8567", "Journal of the American Academy of Child &amp; Adolescent Psychiatry")</f>
        <v>Journal of the American Academy of Child &amp; Adolescent Psychiatry</v>
      </c>
      <c r="C1921" s="1" t="s">
        <v>10</v>
      </c>
      <c r="D1921" s="1">
        <v>3710</v>
      </c>
      <c r="E1921" s="1">
        <v>3470</v>
      </c>
      <c r="F1921" s="1">
        <v>2970</v>
      </c>
      <c r="G1921" s="1">
        <v>460150</v>
      </c>
    </row>
    <row r="1922" spans="1:7" x14ac:dyDescent="0.25">
      <c r="A1922" s="1" t="s">
        <v>2137</v>
      </c>
      <c r="B1922" s="2" t="str">
        <f>HYPERLINK("https://www.elsevier.com/locate/issn/0190-9622", "Journal of the American Academy of Dermatology")</f>
        <v>Journal of the American Academy of Dermatology</v>
      </c>
      <c r="C1922" s="1" t="s">
        <v>10</v>
      </c>
      <c r="D1922" s="1">
        <v>4200</v>
      </c>
      <c r="E1922" s="1">
        <v>3930</v>
      </c>
      <c r="F1922" s="1">
        <v>3360</v>
      </c>
      <c r="G1922" s="1">
        <v>520930</v>
      </c>
    </row>
    <row r="1923" spans="1:7" x14ac:dyDescent="0.25">
      <c r="A1923" s="1" t="s">
        <v>2138</v>
      </c>
      <c r="B1923" s="2" t="str">
        <f>HYPERLINK("https://www.elsevier.com/locate/issn/0735-1097", "Journal of the American College of Cardiology")</f>
        <v>Journal of the American College of Cardiology</v>
      </c>
      <c r="C1923" s="1" t="s">
        <v>10</v>
      </c>
      <c r="D1923" s="1">
        <v>7166</v>
      </c>
      <c r="E1923" s="1">
        <v>6700</v>
      </c>
      <c r="F1923" s="1">
        <v>5740</v>
      </c>
      <c r="G1923" s="1">
        <v>888800</v>
      </c>
    </row>
    <row r="1924" spans="1:7" x14ac:dyDescent="0.25">
      <c r="A1924" s="1" t="s">
        <v>2139</v>
      </c>
      <c r="B1924" s="2" t="str">
        <f>HYPERLINK("https://www.elsevier.com/locate/issn/1546-1440", "Journal of the American College of Radiology")</f>
        <v>Journal of the American College of Radiology</v>
      </c>
      <c r="C1924" s="1" t="s">
        <v>10</v>
      </c>
      <c r="D1924" s="1">
        <v>3810</v>
      </c>
      <c r="E1924" s="1">
        <v>3560</v>
      </c>
      <c r="F1924" s="1">
        <v>3050</v>
      </c>
      <c r="G1924" s="1">
        <v>472550</v>
      </c>
    </row>
    <row r="1925" spans="1:7" x14ac:dyDescent="0.25">
      <c r="A1925" s="1" t="s">
        <v>2140</v>
      </c>
      <c r="B1925" s="2" t="str">
        <f>HYPERLINK("https://www.elsevier.com/locate/issn/1525-8610", "Journal of the American Medical Directors Association")</f>
        <v>Journal of the American Medical Directors Association</v>
      </c>
      <c r="C1925" s="1" t="s">
        <v>10</v>
      </c>
      <c r="D1925" s="1">
        <v>4370</v>
      </c>
      <c r="E1925" s="1">
        <v>4090</v>
      </c>
      <c r="F1925" s="1">
        <v>3500</v>
      </c>
      <c r="G1925" s="1">
        <v>542010</v>
      </c>
    </row>
    <row r="1926" spans="1:7" x14ac:dyDescent="0.25">
      <c r="A1926" s="1" t="s">
        <v>2141</v>
      </c>
      <c r="B1926" s="2" t="str">
        <f>HYPERLINK("https://www.elsevier.com/locate/issn/1544-3191", "Journal of the American Pharmacists Association")</f>
        <v>Journal of the American Pharmacists Association</v>
      </c>
      <c r="C1926" s="1" t="s">
        <v>10</v>
      </c>
      <c r="D1926" s="1">
        <v>3430</v>
      </c>
      <c r="E1926" s="1">
        <v>3210</v>
      </c>
      <c r="F1926" s="1">
        <v>2750</v>
      </c>
      <c r="G1926" s="1">
        <v>425420</v>
      </c>
    </row>
    <row r="1927" spans="1:7" x14ac:dyDescent="0.25">
      <c r="A1927" s="1" t="s">
        <v>2142</v>
      </c>
      <c r="B1927" s="2" t="str">
        <f>HYPERLINK("https://www.elsevier.com/locate/issn/2213-2945", "Journal of the American Society of Cytopathology")</f>
        <v>Journal of the American Society of Cytopathology</v>
      </c>
      <c r="C1927" s="1" t="s">
        <v>10</v>
      </c>
      <c r="D1927" s="1">
        <v>3050</v>
      </c>
      <c r="E1927" s="1">
        <v>2850</v>
      </c>
      <c r="F1927" s="1">
        <v>2440</v>
      </c>
      <c r="G1927" s="1">
        <v>378290</v>
      </c>
    </row>
    <row r="1928" spans="1:7" x14ac:dyDescent="0.25">
      <c r="A1928" s="1" t="s">
        <v>2143</v>
      </c>
      <c r="B1928" s="2" t="str">
        <f>HYPERLINK("https://www.elsevier.com/locate/issn/0894-7317", "Journal of the American Society of Echocardiography")</f>
        <v>Journal of the American Society of Echocardiography</v>
      </c>
      <c r="C1928" s="1" t="s">
        <v>10</v>
      </c>
      <c r="D1928" s="1">
        <v>3800</v>
      </c>
      <c r="E1928" s="1">
        <v>3550</v>
      </c>
      <c r="F1928" s="1">
        <v>3040</v>
      </c>
      <c r="G1928" s="1">
        <v>471310</v>
      </c>
    </row>
    <row r="1929" spans="1:7" x14ac:dyDescent="0.25">
      <c r="A1929" s="1" t="s">
        <v>2144</v>
      </c>
      <c r="B1929" s="2" t="str">
        <f>HYPERLINK("https://www.elsevier.com/locate/issn/1743-9671", "Journal of the Energy Institute")</f>
        <v>Journal of the Energy Institute</v>
      </c>
      <c r="C1929" s="1" t="s">
        <v>10</v>
      </c>
      <c r="D1929" s="1">
        <v>3830</v>
      </c>
      <c r="E1929" s="1">
        <v>3580</v>
      </c>
      <c r="F1929" s="1">
        <v>3070</v>
      </c>
      <c r="G1929" s="1">
        <v>475030</v>
      </c>
    </row>
    <row r="1930" spans="1:7" x14ac:dyDescent="0.25">
      <c r="A1930" s="1" t="s">
        <v>2145</v>
      </c>
      <c r="B1930" s="2" t="str">
        <f>HYPERLINK("https://www.elsevier.com/locate/issn/0955-2219", "Journal of the European Ceramic Society")</f>
        <v>Journal of the European Ceramic Society</v>
      </c>
      <c r="C1930" s="1" t="s">
        <v>10</v>
      </c>
      <c r="D1930" s="1">
        <v>3900</v>
      </c>
      <c r="E1930" s="1">
        <v>3650</v>
      </c>
      <c r="F1930" s="1">
        <v>3120</v>
      </c>
      <c r="G1930" s="1">
        <v>483720</v>
      </c>
    </row>
    <row r="1931" spans="1:7" x14ac:dyDescent="0.25">
      <c r="A1931" s="1" t="s">
        <v>2146</v>
      </c>
      <c r="B1931" s="2" t="str">
        <f>HYPERLINK("https://www.elsevier.com/locate/issn/2950-6301", "Journal of the European Meteorological Society")</f>
        <v>Journal of the European Meteorological Society</v>
      </c>
      <c r="C1931" s="1" t="s">
        <v>23</v>
      </c>
      <c r="D1931" s="1">
        <v>2030</v>
      </c>
      <c r="E1931" s="1">
        <v>1848</v>
      </c>
      <c r="F1931" s="1">
        <v>1620</v>
      </c>
      <c r="G1931" s="1">
        <v>251780</v>
      </c>
    </row>
    <row r="1932" spans="1:7" x14ac:dyDescent="0.25">
      <c r="A1932" s="1" t="s">
        <v>2147</v>
      </c>
      <c r="B1932" s="2" t="str">
        <f>HYPERLINK("https://www.elsevier.com/locate/issn/0929-6646", "Journal of the Formosan Medical Association")</f>
        <v>Journal of the Formosan Medical Association</v>
      </c>
      <c r="C1932" s="1" t="s">
        <v>23</v>
      </c>
      <c r="D1932" s="1" t="s">
        <v>324</v>
      </c>
      <c r="E1932" s="1" t="s">
        <v>324</v>
      </c>
      <c r="F1932" s="1" t="s">
        <v>324</v>
      </c>
      <c r="G1932" s="1" t="s">
        <v>324</v>
      </c>
    </row>
    <row r="1933" spans="1:7" x14ac:dyDescent="0.25">
      <c r="A1933" s="1" t="s">
        <v>2148</v>
      </c>
      <c r="B1933" s="2" t="str">
        <f>HYPERLINK("https://www.elsevier.com/locate/issn/0016-0032", "Journal of the Franklin Institute")</f>
        <v>Journal of the Franklin Institute</v>
      </c>
      <c r="C1933" s="1" t="s">
        <v>10</v>
      </c>
      <c r="D1933" s="1">
        <v>3300</v>
      </c>
      <c r="E1933" s="1">
        <v>3090</v>
      </c>
      <c r="F1933" s="1">
        <v>2640</v>
      </c>
      <c r="G1933" s="1">
        <v>409300</v>
      </c>
    </row>
    <row r="1934" spans="1:7" x14ac:dyDescent="0.25">
      <c r="A1934" s="1" t="s">
        <v>2149</v>
      </c>
      <c r="B1934" s="2" t="str">
        <f>HYPERLINK("https://www.elsevier.com/locate/issn/0019-4522", "Journal of the Indian Chemical Society")</f>
        <v>Journal of the Indian Chemical Society</v>
      </c>
      <c r="C1934" s="1" t="s">
        <v>10</v>
      </c>
      <c r="D1934" s="1">
        <v>1800</v>
      </c>
      <c r="E1934" s="1">
        <v>1680</v>
      </c>
      <c r="F1934" s="1">
        <v>1440</v>
      </c>
      <c r="G1934" s="1">
        <v>223250</v>
      </c>
    </row>
    <row r="1935" spans="1:7" x14ac:dyDescent="0.25">
      <c r="A1935" s="1" t="s">
        <v>2150</v>
      </c>
      <c r="B1935" s="2" t="str">
        <f>HYPERLINK("https://www.elsevier.com/locate/issn/0889-1583", "Journal of the Japanese and International Economies")</f>
        <v>Journal of the Japanese and International Economies</v>
      </c>
      <c r="C1935" s="1" t="s">
        <v>10</v>
      </c>
      <c r="D1935" s="1">
        <v>3970</v>
      </c>
      <c r="E1935" s="1">
        <v>3710</v>
      </c>
      <c r="F1935" s="1">
        <v>3180</v>
      </c>
      <c r="G1935" s="1">
        <v>492400</v>
      </c>
    </row>
    <row r="1936" spans="1:7" x14ac:dyDescent="0.25">
      <c r="A1936" s="1" t="s">
        <v>2151</v>
      </c>
      <c r="B1936" s="2" t="str">
        <f>HYPERLINK("https://www.elsevier.com/locate/issn/1751-6161", "Journal of the Mechanical Behavior of Biomedical Materials")</f>
        <v>Journal of the Mechanical Behavior of Biomedical Materials</v>
      </c>
      <c r="C1936" s="1" t="s">
        <v>10</v>
      </c>
      <c r="D1936" s="1">
        <v>3690</v>
      </c>
      <c r="E1936" s="1">
        <v>3450</v>
      </c>
      <c r="F1936" s="1">
        <v>2950</v>
      </c>
      <c r="G1936" s="1">
        <v>457670</v>
      </c>
    </row>
    <row r="1937" spans="1:7" x14ac:dyDescent="0.25">
      <c r="A1937" s="1" t="s">
        <v>2152</v>
      </c>
      <c r="B1937" s="2" t="str">
        <f>HYPERLINK("https://www.elsevier.com/locate/issn/0022-5096", "Journal of the Mechanics and Physics of Solids")</f>
        <v>Journal of the Mechanics and Physics of Solids</v>
      </c>
      <c r="C1937" s="1" t="s">
        <v>10</v>
      </c>
      <c r="D1937" s="1">
        <v>4220</v>
      </c>
      <c r="E1937" s="1">
        <v>3950</v>
      </c>
      <c r="F1937" s="1">
        <v>3380</v>
      </c>
      <c r="G1937" s="1">
        <v>523410</v>
      </c>
    </row>
    <row r="1938" spans="1:7" x14ac:dyDescent="0.25">
      <c r="A1938" s="1" t="s">
        <v>2153</v>
      </c>
      <c r="B1938" s="2" t="str">
        <f>HYPERLINK("https://www.elsevier.com/locate/issn/2667-0054", "Journal of the National Cancer Center")</f>
        <v>Journal of the National Cancer Center</v>
      </c>
      <c r="C1938" s="1" t="s">
        <v>23</v>
      </c>
      <c r="D1938" s="1">
        <v>2700</v>
      </c>
      <c r="E1938" s="1">
        <v>2530</v>
      </c>
      <c r="F1938" s="1">
        <v>2160</v>
      </c>
      <c r="G1938" s="1">
        <v>334880</v>
      </c>
    </row>
    <row r="1939" spans="1:7" x14ac:dyDescent="0.25">
      <c r="A1939" s="1" t="s">
        <v>2154</v>
      </c>
      <c r="B1939" s="2" t="str">
        <f>HYPERLINK("https://www.elsevier.com/locate/issn/0027-9684", "Journal of the National Medical Association")</f>
        <v>Journal of the National Medical Association</v>
      </c>
      <c r="C1939" s="1" t="s">
        <v>10</v>
      </c>
      <c r="D1939" s="1">
        <v>3160</v>
      </c>
      <c r="E1939" s="1">
        <v>2960</v>
      </c>
      <c r="F1939" s="1">
        <v>2530</v>
      </c>
      <c r="G1939" s="1">
        <v>391930</v>
      </c>
    </row>
    <row r="1940" spans="1:7" x14ac:dyDescent="0.25">
      <c r="A1940" s="1" t="s">
        <v>2155</v>
      </c>
      <c r="B1940" s="2" t="str">
        <f>HYPERLINK("https://www.elsevier.com/locate/issn/0022-510X", "Journal of the Neurological Sciences")</f>
        <v>Journal of the Neurological Sciences</v>
      </c>
      <c r="C1940" s="1" t="s">
        <v>10</v>
      </c>
      <c r="D1940" s="1">
        <v>3640</v>
      </c>
      <c r="E1940" s="1">
        <v>3410</v>
      </c>
      <c r="F1940" s="1">
        <v>2910</v>
      </c>
      <c r="G1940" s="1">
        <v>451470</v>
      </c>
    </row>
    <row r="1941" spans="1:7" x14ac:dyDescent="0.25">
      <c r="A1941" s="1" t="s">
        <v>2156</v>
      </c>
      <c r="B1941" s="2" t="str">
        <f>HYPERLINK("https://www.elsevier.com/locate/issn/2768-2765", "Journal of the Pediatric Orthopaedic Society of North America")</f>
        <v>Journal of the Pediatric Orthopaedic Society of North America</v>
      </c>
      <c r="C1941" s="1" t="s">
        <v>23</v>
      </c>
      <c r="D1941" s="1">
        <v>1500</v>
      </c>
      <c r="E1941" s="1">
        <v>1400</v>
      </c>
      <c r="F1941" s="1">
        <v>1200</v>
      </c>
      <c r="G1941" s="1">
        <v>186050</v>
      </c>
    </row>
    <row r="1942" spans="1:7" x14ac:dyDescent="0.25">
      <c r="A1942" s="1" t="s">
        <v>2157</v>
      </c>
      <c r="B1942" s="2" t="str">
        <f>HYPERLINK("https://www.elsevier.com/locate/issn/1658-077X", "Journal of the Saudi Society of Agricultural Sciences")</f>
        <v>Journal of the Saudi Society of Agricultural Sciences</v>
      </c>
      <c r="C1942" s="1" t="s">
        <v>34</v>
      </c>
      <c r="D1942" s="1" t="s">
        <v>324</v>
      </c>
      <c r="E1942" s="1" t="s">
        <v>324</v>
      </c>
      <c r="F1942" s="1" t="s">
        <v>324</v>
      </c>
      <c r="G1942" s="1" t="s">
        <v>324</v>
      </c>
    </row>
    <row r="1943" spans="1:7" x14ac:dyDescent="0.25">
      <c r="A1943" s="1" t="s">
        <v>2158</v>
      </c>
      <c r="B1943" s="2" t="str">
        <f>HYPERLINK("https://www.elsevier.com/locate/issn/2772-9303", "Journal of the Society for Cardiovascular Angiography &amp; Interventions")</f>
        <v>Journal of the Society for Cardiovascular Angiography &amp; Interventions</v>
      </c>
      <c r="C1943" s="1" t="s">
        <v>23</v>
      </c>
      <c r="D1943" s="1">
        <v>2400</v>
      </c>
      <c r="E1943" s="1">
        <v>2250</v>
      </c>
      <c r="F1943" s="1">
        <v>1920</v>
      </c>
      <c r="G1943" s="1">
        <v>297670</v>
      </c>
    </row>
    <row r="1944" spans="1:7" x14ac:dyDescent="0.25">
      <c r="A1944" s="1" t="s">
        <v>2159</v>
      </c>
      <c r="B1944" s="2" t="str">
        <f>HYPERLINK("https://www.elsevier.com/locate/issn/1876-1070", "Journal of the Taiwan Institute of Chemical Engineers")</f>
        <v>Journal of the Taiwan Institute of Chemical Engineers</v>
      </c>
      <c r="C1944" s="1" t="s">
        <v>10</v>
      </c>
      <c r="D1944" s="1">
        <v>2650</v>
      </c>
      <c r="E1944" s="1">
        <v>2480</v>
      </c>
      <c r="F1944" s="1">
        <v>2120</v>
      </c>
      <c r="G1944" s="1">
        <v>328680</v>
      </c>
    </row>
    <row r="1945" spans="1:7" x14ac:dyDescent="0.25">
      <c r="A1945" s="1" t="s">
        <v>2160</v>
      </c>
      <c r="B1945" s="2" t="str">
        <f>HYPERLINK("https://www.elsevier.com/locate/issn/2212-4438", "Journal of the World Federation of Orthodontists")</f>
        <v>Journal of the World Federation of Orthodontists</v>
      </c>
      <c r="C1945" s="1" t="s">
        <v>10</v>
      </c>
      <c r="D1945" s="1">
        <v>3000</v>
      </c>
      <c r="E1945" s="1">
        <v>2810</v>
      </c>
      <c r="F1945" s="1">
        <v>2400</v>
      </c>
      <c r="G1945" s="1">
        <v>372090</v>
      </c>
    </row>
    <row r="1946" spans="1:7" x14ac:dyDescent="0.25">
      <c r="A1946" s="1" t="s">
        <v>2161</v>
      </c>
      <c r="B1946" s="2" t="str">
        <f>HYPERLINK("https://www.elsevier.com/locate/issn/0022-5193", "Journal of Theoretical Biology")</f>
        <v>Journal of Theoretical Biology</v>
      </c>
      <c r="C1946" s="1" t="s">
        <v>10</v>
      </c>
      <c r="D1946" s="1">
        <v>2550</v>
      </c>
      <c r="E1946" s="1">
        <v>2390</v>
      </c>
      <c r="F1946" s="1">
        <v>2040</v>
      </c>
      <c r="G1946" s="1">
        <v>316280</v>
      </c>
    </row>
    <row r="1947" spans="1:7" x14ac:dyDescent="0.25">
      <c r="A1947" s="1" t="s">
        <v>2162</v>
      </c>
      <c r="B1947" s="2" t="str">
        <f>HYPERLINK("https://www.elsevier.com/locate/issn/0306-4565", "Journal of Thermal Biology")</f>
        <v>Journal of Thermal Biology</v>
      </c>
      <c r="C1947" s="1" t="s">
        <v>10</v>
      </c>
      <c r="D1947" s="1">
        <v>3360</v>
      </c>
      <c r="E1947" s="1">
        <v>3140</v>
      </c>
      <c r="F1947" s="1">
        <v>2690</v>
      </c>
      <c r="G1947" s="1">
        <v>416740</v>
      </c>
    </row>
    <row r="1948" spans="1:7" x14ac:dyDescent="0.25">
      <c r="A1948" s="1" t="s">
        <v>2163</v>
      </c>
      <c r="B1948" s="2" t="str">
        <f>HYPERLINK("https://www.elsevier.com/locate/issn/1556-0864", "Journal of Thoracic Oncology")</f>
        <v>Journal of Thoracic Oncology</v>
      </c>
      <c r="C1948" s="1" t="s">
        <v>10</v>
      </c>
      <c r="D1948" s="1">
        <v>4100</v>
      </c>
      <c r="E1948" s="1">
        <v>3840</v>
      </c>
      <c r="F1948" s="1">
        <v>3280</v>
      </c>
      <c r="G1948" s="1">
        <v>508520</v>
      </c>
    </row>
    <row r="1949" spans="1:7" x14ac:dyDescent="0.25">
      <c r="A1949" s="1" t="s">
        <v>2164</v>
      </c>
      <c r="B1949" s="2" t="str">
        <f>HYPERLINK("https://www.elsevier.com/locate/issn/1538-7836", "Journal of Thrombosis and Haemostasis")</f>
        <v>Journal of Thrombosis and Haemostasis</v>
      </c>
      <c r="C1949" s="1" t="s">
        <v>10</v>
      </c>
      <c r="D1949" s="1">
        <v>3750</v>
      </c>
      <c r="E1949" s="1">
        <v>3510</v>
      </c>
      <c r="F1949" s="1">
        <v>3000</v>
      </c>
      <c r="G1949" s="1">
        <v>465110</v>
      </c>
    </row>
    <row r="1950" spans="1:7" x14ac:dyDescent="0.25">
      <c r="A1950" s="1" t="s">
        <v>2165</v>
      </c>
      <c r="B1950" s="2" t="str">
        <f>HYPERLINK("https://www.elsevier.com/locate/issn/0965-206X", "Journal of Tissue Viability")</f>
        <v>Journal of Tissue Viability</v>
      </c>
      <c r="C1950" s="1" t="s">
        <v>23</v>
      </c>
      <c r="D1950" s="1">
        <v>2790</v>
      </c>
      <c r="E1950" s="1">
        <v>2610</v>
      </c>
      <c r="F1950" s="1">
        <v>2231</v>
      </c>
      <c r="G1950" s="1">
        <v>346040</v>
      </c>
    </row>
    <row r="1951" spans="1:7" x14ac:dyDescent="0.25">
      <c r="A1951" s="1" t="s">
        <v>2166</v>
      </c>
      <c r="B1951" s="2" t="str">
        <f>HYPERLINK("https://www.elsevier.com/locate/issn/2773-0506", "Journal of Trace Elements and Minerals")</f>
        <v>Journal of Trace Elements and Minerals</v>
      </c>
      <c r="C1951" s="1" t="s">
        <v>23</v>
      </c>
      <c r="D1951" s="1">
        <v>1910</v>
      </c>
      <c r="E1951" s="1">
        <v>1790</v>
      </c>
      <c r="F1951" s="1">
        <v>1530</v>
      </c>
      <c r="G1951" s="1">
        <v>236900</v>
      </c>
    </row>
    <row r="1952" spans="1:7" x14ac:dyDescent="0.25">
      <c r="A1952" s="1" t="s">
        <v>2167</v>
      </c>
      <c r="B1952" s="2" t="str">
        <f>HYPERLINK("https://www.elsevier.com/locate/issn/0946-672X", "Journal of Trace Elements in Medicine and Biology")</f>
        <v>Journal of Trace Elements in Medicine and Biology</v>
      </c>
      <c r="C1952" s="1" t="s">
        <v>10</v>
      </c>
      <c r="D1952" s="1">
        <v>3700</v>
      </c>
      <c r="E1952" s="1">
        <v>3460</v>
      </c>
      <c r="F1952" s="1">
        <v>2960</v>
      </c>
      <c r="G1952" s="1">
        <v>458910</v>
      </c>
    </row>
    <row r="1953" spans="1:7" x14ac:dyDescent="0.25">
      <c r="A1953" s="1" t="s">
        <v>2168</v>
      </c>
      <c r="B1953" s="2" t="str">
        <f>HYPERLINK("https://www.elsevier.com/locate/issn/2225-4110", "Journal of Traditional and Complementary Medicine")</f>
        <v>Journal of Traditional and Complementary Medicine</v>
      </c>
      <c r="C1953" s="1" t="s">
        <v>34</v>
      </c>
      <c r="D1953" s="1" t="s">
        <v>324</v>
      </c>
      <c r="E1953" s="1" t="s">
        <v>324</v>
      </c>
      <c r="F1953" s="1" t="s">
        <v>324</v>
      </c>
      <c r="G1953" s="1" t="s">
        <v>324</v>
      </c>
    </row>
    <row r="1954" spans="1:7" x14ac:dyDescent="0.25">
      <c r="A1954" s="1" t="s">
        <v>2169</v>
      </c>
      <c r="B1954" s="2" t="str">
        <f>HYPERLINK("https://www.elsevier.com/locate/issn/2095-7548", "Journal of Traditional Chinese Medical Sciences")</f>
        <v>Journal of Traditional Chinese Medical Sciences</v>
      </c>
      <c r="C1954" s="1" t="s">
        <v>23</v>
      </c>
      <c r="D1954" s="1">
        <v>1400</v>
      </c>
      <c r="E1954" s="1">
        <v>1310</v>
      </c>
      <c r="F1954" s="1">
        <v>1120</v>
      </c>
      <c r="G1954" s="1">
        <v>173640</v>
      </c>
    </row>
    <row r="1955" spans="1:7" x14ac:dyDescent="0.25">
      <c r="A1955" s="1" t="s">
        <v>2170</v>
      </c>
      <c r="B1955" s="2" t="str">
        <f>HYPERLINK("https://www.elsevier.com/locate/issn/2095-7564", "Journal of Traffic and Transportation Engineering (English Edition)")</f>
        <v>Journal of Traffic and Transportation Engineering (English Edition)</v>
      </c>
      <c r="C1955" s="1" t="s">
        <v>34</v>
      </c>
      <c r="D1955" s="1" t="s">
        <v>324</v>
      </c>
      <c r="E1955" s="1" t="s">
        <v>324</v>
      </c>
      <c r="F1955" s="1" t="s">
        <v>324</v>
      </c>
      <c r="G1955" s="1" t="s">
        <v>324</v>
      </c>
    </row>
    <row r="1956" spans="1:7" x14ac:dyDescent="0.25">
      <c r="A1956" s="1" t="s">
        <v>2171</v>
      </c>
      <c r="B1956" s="2" t="str">
        <f>HYPERLINK("https://www.elsevier.com/locate/issn/2589-9090", "Journal of Translational Autoimmunity")</f>
        <v>Journal of Translational Autoimmunity</v>
      </c>
      <c r="C1956" s="1" t="s">
        <v>23</v>
      </c>
      <c r="D1956" s="1">
        <v>3180</v>
      </c>
      <c r="E1956" s="1">
        <v>2970</v>
      </c>
      <c r="F1956" s="1">
        <v>2550</v>
      </c>
      <c r="G1956" s="1">
        <v>394420</v>
      </c>
    </row>
    <row r="1957" spans="1:7" x14ac:dyDescent="0.25">
      <c r="A1957" s="1" t="s">
        <v>2172</v>
      </c>
      <c r="B1957" s="2" t="str">
        <f>HYPERLINK("https://www.elsevier.com/locate/issn/2214-1405", "Journal of Transport &amp; Health")</f>
        <v>Journal of Transport &amp; Health</v>
      </c>
      <c r="C1957" s="1" t="s">
        <v>10</v>
      </c>
      <c r="D1957" s="1">
        <v>2720</v>
      </c>
      <c r="E1957" s="1">
        <v>2540</v>
      </c>
      <c r="F1957" s="1">
        <v>2180</v>
      </c>
      <c r="G1957" s="1">
        <v>337360</v>
      </c>
    </row>
    <row r="1958" spans="1:7" x14ac:dyDescent="0.25">
      <c r="A1958" s="1" t="s">
        <v>2173</v>
      </c>
      <c r="B1958" s="2" t="str">
        <f>HYPERLINK("https://www.elsevier.com/locate/issn/0966-6923", "Journal of Transport Geography")</f>
        <v>Journal of Transport Geography</v>
      </c>
      <c r="C1958" s="1" t="s">
        <v>10</v>
      </c>
      <c r="D1958" s="1">
        <v>2990</v>
      </c>
      <c r="E1958" s="1">
        <v>2800</v>
      </c>
      <c r="F1958" s="1">
        <v>2390</v>
      </c>
      <c r="G1958" s="1">
        <v>370850</v>
      </c>
    </row>
    <row r="1959" spans="1:7" x14ac:dyDescent="0.25">
      <c r="A1959" s="1" t="s">
        <v>2174</v>
      </c>
      <c r="B1959" s="2" t="str">
        <f>HYPERLINK("https://www.elsevier.com/locate/issn/0094-1190", "Journal of Urban Economics")</f>
        <v>Journal of Urban Economics</v>
      </c>
      <c r="C1959" s="1" t="s">
        <v>10</v>
      </c>
      <c r="D1959" s="1">
        <v>5080</v>
      </c>
      <c r="E1959" s="1">
        <v>4750</v>
      </c>
      <c r="F1959" s="1">
        <v>4070</v>
      </c>
      <c r="G1959" s="1">
        <v>630070</v>
      </c>
    </row>
    <row r="1960" spans="1:7" x14ac:dyDescent="0.25">
      <c r="A1960" s="1" t="s">
        <v>2175</v>
      </c>
      <c r="B1960" s="2" t="str">
        <f>HYPERLINK("https://www.elsevier.com/locate/issn/2226-5856", "Journal of Urban Management")</f>
        <v>Journal of Urban Management</v>
      </c>
      <c r="C1960" s="1" t="s">
        <v>23</v>
      </c>
      <c r="D1960" s="1">
        <v>2050</v>
      </c>
      <c r="E1960" s="1">
        <v>1920</v>
      </c>
      <c r="F1960" s="1">
        <v>1640</v>
      </c>
      <c r="G1960" s="1">
        <v>254260</v>
      </c>
    </row>
    <row r="1961" spans="1:7" x14ac:dyDescent="0.25">
      <c r="A1961" s="1" t="s">
        <v>2176</v>
      </c>
      <c r="B1961" s="2" t="str">
        <f>HYPERLINK("https://www.elsevier.com/locate/issn/2667-0917", "Journal of Urban Mobility")</f>
        <v>Journal of Urban Mobility</v>
      </c>
      <c r="C1961" s="1" t="s">
        <v>23</v>
      </c>
      <c r="D1961" s="1">
        <v>1590</v>
      </c>
      <c r="E1961" s="1">
        <v>1490</v>
      </c>
      <c r="F1961" s="1">
        <v>1270</v>
      </c>
      <c r="G1961" s="1">
        <v>197210</v>
      </c>
    </row>
    <row r="1962" spans="1:7" x14ac:dyDescent="0.25">
      <c r="A1962" s="1" t="s">
        <v>2177</v>
      </c>
      <c r="B1962" s="2" t="str">
        <f>HYPERLINK("https://www.elsevier.com/locate/issn/3050-6093", "Journal of Vascular and Endovascular Research")</f>
        <v>Journal of Vascular and Endovascular Research</v>
      </c>
      <c r="C1962" s="1" t="s">
        <v>34</v>
      </c>
      <c r="D1962" s="1" t="s">
        <v>324</v>
      </c>
      <c r="E1962" s="1" t="s">
        <v>324</v>
      </c>
      <c r="F1962" s="1" t="s">
        <v>324</v>
      </c>
      <c r="G1962" s="1" t="s">
        <v>324</v>
      </c>
    </row>
    <row r="1963" spans="1:7" x14ac:dyDescent="0.25">
      <c r="A1963" s="1" t="s">
        <v>2178</v>
      </c>
      <c r="B1963" s="2" t="str">
        <f>HYPERLINK("https://www.elsevier.com/locate/issn/1051-0443", "Journal of Vascular and Interventional Radiology")</f>
        <v>Journal of Vascular and Interventional Radiology</v>
      </c>
      <c r="C1963" s="1" t="s">
        <v>10</v>
      </c>
      <c r="D1963" s="1">
        <v>3720</v>
      </c>
      <c r="E1963" s="1">
        <v>3480</v>
      </c>
      <c r="F1963" s="1">
        <v>2980</v>
      </c>
      <c r="G1963" s="1">
        <v>461390</v>
      </c>
    </row>
    <row r="1964" spans="1:7" x14ac:dyDescent="0.25">
      <c r="A1964" s="1" t="s">
        <v>2179</v>
      </c>
      <c r="B1964" s="2" t="str">
        <f>HYPERLINK("https://www.elsevier.com/locate/issn/1062-0303", "Journal of Vascular Nursing")</f>
        <v>Journal of Vascular Nursing</v>
      </c>
      <c r="C1964" s="1" t="s">
        <v>10</v>
      </c>
      <c r="D1964" s="1">
        <v>3340</v>
      </c>
      <c r="E1964" s="1">
        <v>3120</v>
      </c>
      <c r="F1964" s="1">
        <v>2670</v>
      </c>
      <c r="G1964" s="1">
        <v>414260</v>
      </c>
    </row>
    <row r="1965" spans="1:7" x14ac:dyDescent="0.25">
      <c r="A1965" s="1" t="s">
        <v>2180</v>
      </c>
      <c r="B1965" s="2" t="str">
        <f>HYPERLINK("https://www.elsevier.com/locate/issn/0741-5214", "Journal of Vascular Surgery")</f>
        <v>Journal of Vascular Surgery</v>
      </c>
      <c r="C1965" s="1" t="s">
        <v>10</v>
      </c>
      <c r="D1965" s="1">
        <v>4010</v>
      </c>
      <c r="E1965" s="1">
        <v>3750</v>
      </c>
      <c r="F1965" s="1">
        <v>3210</v>
      </c>
      <c r="G1965" s="1">
        <v>497360</v>
      </c>
    </row>
    <row r="1966" spans="1:7" x14ac:dyDescent="0.25">
      <c r="A1966" s="1" t="s">
        <v>2181</v>
      </c>
      <c r="B1966" s="2" t="str">
        <f>HYPERLINK("https://www.elsevier.com/locate/issn/2213-333X", "Journal of Vascular Surgery: Venous and Lymphatic Disorders")</f>
        <v>Journal of Vascular Surgery: Venous and Lymphatic Disorders</v>
      </c>
      <c r="C1966" s="1" t="s">
        <v>23</v>
      </c>
      <c r="D1966" s="1">
        <v>2400</v>
      </c>
      <c r="E1966" s="1">
        <v>2250</v>
      </c>
      <c r="F1966" s="1">
        <v>1920</v>
      </c>
      <c r="G1966" s="1">
        <v>297670</v>
      </c>
    </row>
    <row r="1967" spans="1:7" x14ac:dyDescent="0.25">
      <c r="A1967" s="1" t="s">
        <v>2182</v>
      </c>
      <c r="B1967" s="2" t="str">
        <f>HYPERLINK("https://www.elsevier.com/locate/issn/1558-7878", "Journal of Veterinary Behavior")</f>
        <v>Journal of Veterinary Behavior</v>
      </c>
      <c r="C1967" s="1" t="s">
        <v>10</v>
      </c>
      <c r="D1967" s="1">
        <v>3490</v>
      </c>
      <c r="E1967" s="1">
        <v>3260</v>
      </c>
      <c r="F1967" s="1">
        <v>2790</v>
      </c>
      <c r="G1967" s="1">
        <v>432860</v>
      </c>
    </row>
    <row r="1968" spans="1:7" x14ac:dyDescent="0.25">
      <c r="A1968" s="1" t="s">
        <v>2183</v>
      </c>
      <c r="B1968" s="2" t="str">
        <f>HYPERLINK("https://www.elsevier.com/locate/issn/1760-2734", "Journal of Veterinary Cardiology")</f>
        <v>Journal of Veterinary Cardiology</v>
      </c>
      <c r="C1968" s="1" t="s">
        <v>10</v>
      </c>
      <c r="D1968" s="1">
        <v>3360</v>
      </c>
      <c r="E1968" s="1">
        <v>3140</v>
      </c>
      <c r="F1968" s="1">
        <v>2690</v>
      </c>
      <c r="G1968" s="1">
        <v>416740</v>
      </c>
    </row>
    <row r="1969" spans="1:7" x14ac:dyDescent="0.25">
      <c r="A1969" s="1" t="s">
        <v>2184</v>
      </c>
      <c r="B1969" s="2" t="str">
        <f>HYPERLINK("https://www.elsevier.com/locate/issn/0166-0934", "Journal of Virological Methods")</f>
        <v>Journal of Virological Methods</v>
      </c>
      <c r="C1969" s="1" t="s">
        <v>10</v>
      </c>
      <c r="D1969" s="1">
        <v>3210</v>
      </c>
      <c r="E1969" s="1">
        <v>3000</v>
      </c>
      <c r="F1969" s="1">
        <v>2570</v>
      </c>
      <c r="G1969" s="1">
        <v>398140</v>
      </c>
    </row>
    <row r="1970" spans="1:7" x14ac:dyDescent="0.25">
      <c r="A1970" s="1" t="s">
        <v>2185</v>
      </c>
      <c r="B1970" s="2" t="str">
        <f>HYPERLINK("https://www.elsevier.com/locate/issn/2055-6640", "Journal of Virus Eradication")</f>
        <v>Journal of Virus Eradication</v>
      </c>
      <c r="C1970" s="1" t="s">
        <v>23</v>
      </c>
      <c r="D1970" s="1">
        <v>2950</v>
      </c>
      <c r="E1970" s="1">
        <v>2760</v>
      </c>
      <c r="F1970" s="1">
        <v>2360</v>
      </c>
      <c r="G1970" s="1">
        <v>365890</v>
      </c>
    </row>
    <row r="1971" spans="1:7" x14ac:dyDescent="0.25">
      <c r="A1971" s="1" t="s">
        <v>2186</v>
      </c>
      <c r="B1971" s="2" t="str">
        <f>HYPERLINK("https://www.elsevier.com/locate/issn/1878-7886", "Journal of Visceral Surgery")</f>
        <v>Journal of Visceral Surgery</v>
      </c>
      <c r="C1971" s="1" t="s">
        <v>10</v>
      </c>
      <c r="D1971" s="1">
        <v>2690</v>
      </c>
      <c r="E1971" s="1">
        <v>2520</v>
      </c>
      <c r="F1971" s="1">
        <v>2150</v>
      </c>
      <c r="G1971" s="1">
        <v>333640</v>
      </c>
    </row>
    <row r="1972" spans="1:7" x14ac:dyDescent="0.25">
      <c r="A1972" s="1" t="s">
        <v>2187</v>
      </c>
      <c r="B1972" s="2" t="str">
        <f>HYPERLINK("https://www.elsevier.com/locate/issn/1047-3203", "Journal of Visual Communication and Image Representation")</f>
        <v>Journal of Visual Communication and Image Representation</v>
      </c>
      <c r="C1972" s="1" t="s">
        <v>10</v>
      </c>
      <c r="D1972" s="1">
        <v>2450</v>
      </c>
      <c r="E1972" s="1">
        <v>2290</v>
      </c>
      <c r="F1972" s="1">
        <v>1960</v>
      </c>
      <c r="G1972" s="1">
        <v>303870</v>
      </c>
    </row>
    <row r="1973" spans="1:7" x14ac:dyDescent="0.25">
      <c r="A1973" s="1" t="s">
        <v>2188</v>
      </c>
      <c r="B1973" s="2" t="str">
        <f>HYPERLINK("https://www.elsevier.com/locate/issn/0001-8791", "Journal of Vocational Behavior")</f>
        <v>Journal of Vocational Behavior</v>
      </c>
      <c r="C1973" s="1" t="s">
        <v>10</v>
      </c>
      <c r="D1973" s="1">
        <v>4690</v>
      </c>
      <c r="E1973" s="1">
        <v>4390</v>
      </c>
      <c r="F1973" s="1">
        <v>3750</v>
      </c>
      <c r="G1973" s="1">
        <v>581700</v>
      </c>
    </row>
    <row r="1974" spans="1:7" x14ac:dyDescent="0.25">
      <c r="A1974" s="1" t="s">
        <v>2189</v>
      </c>
      <c r="B1974" s="2" t="str">
        <f>HYPERLINK("https://www.elsevier.com/locate/issn/0892-1997", "Journal of Voice")</f>
        <v>Journal of Voice</v>
      </c>
      <c r="C1974" s="1" t="s">
        <v>10</v>
      </c>
      <c r="D1974" s="1">
        <v>3650</v>
      </c>
      <c r="E1974" s="1">
        <v>3410</v>
      </c>
      <c r="F1974" s="1">
        <v>2920</v>
      </c>
      <c r="G1974" s="1">
        <v>452710</v>
      </c>
    </row>
    <row r="1975" spans="1:7" x14ac:dyDescent="0.25">
      <c r="A1975" s="1" t="s">
        <v>2190</v>
      </c>
      <c r="B1975" s="2" t="str">
        <f>HYPERLINK("https://www.elsevier.com/locate/issn/0377-0273", "Journal of Volcanology and Geothermal Research")</f>
        <v>Journal of Volcanology and Geothermal Research</v>
      </c>
      <c r="C1975" s="1" t="s">
        <v>10</v>
      </c>
      <c r="D1975" s="1">
        <v>3420</v>
      </c>
      <c r="E1975" s="1">
        <v>3200</v>
      </c>
      <c r="F1975" s="1">
        <v>2740</v>
      </c>
      <c r="G1975" s="1">
        <v>424180</v>
      </c>
    </row>
    <row r="1976" spans="1:7" x14ac:dyDescent="0.25">
      <c r="A1976" s="1" t="s">
        <v>2191</v>
      </c>
      <c r="B1976" s="2" t="str">
        <f>HYPERLINK("https://www.elsevier.com/locate/issn/2214-7144", "Journal of Water Process Engineering")</f>
        <v>Journal of Water Process Engineering</v>
      </c>
      <c r="C1976" s="1" t="s">
        <v>10</v>
      </c>
      <c r="D1976" s="1">
        <v>3350</v>
      </c>
      <c r="E1976" s="1">
        <v>3130</v>
      </c>
      <c r="F1976" s="1">
        <v>2680</v>
      </c>
      <c r="G1976" s="1">
        <v>415500</v>
      </c>
    </row>
    <row r="1977" spans="1:7" x14ac:dyDescent="0.25">
      <c r="A1977" s="1" t="s">
        <v>2192</v>
      </c>
      <c r="B1977" s="2" t="str">
        <f>HYPERLINK("https://www.elsevier.com/locate/issn/1570-8268", "Journal of Web Semantics")</f>
        <v>Journal of Web Semantics</v>
      </c>
      <c r="C1977" s="1" t="s">
        <v>23</v>
      </c>
      <c r="D1977" s="1">
        <v>1700</v>
      </c>
      <c r="E1977" s="1">
        <v>1590</v>
      </c>
      <c r="F1977" s="1">
        <v>1360</v>
      </c>
      <c r="G1977" s="1">
        <v>210850</v>
      </c>
    </row>
    <row r="1978" spans="1:7" x14ac:dyDescent="0.25">
      <c r="A1978" s="1" t="s">
        <v>2193</v>
      </c>
      <c r="B1978" s="2" t="str">
        <f>HYPERLINK("https://www.elsevier.com/locate/issn/0167-6105", "Journal of Wind Engineering and Industrial Aerodynamics")</f>
        <v>Journal of Wind Engineering and Industrial Aerodynamics</v>
      </c>
      <c r="C1978" s="1" t="s">
        <v>10</v>
      </c>
      <c r="D1978" s="1">
        <v>3880</v>
      </c>
      <c r="E1978" s="1">
        <v>3630</v>
      </c>
      <c r="F1978" s="1">
        <v>3110</v>
      </c>
      <c r="G1978" s="1">
        <v>481240</v>
      </c>
    </row>
    <row r="1979" spans="1:7" x14ac:dyDescent="0.25">
      <c r="A1979" s="1" t="s">
        <v>2194</v>
      </c>
      <c r="B1979" s="2" t="str">
        <f>HYPERLINK("https://www.elsevier.com/locate/issn/1090-9516", "Journal of World Business")</f>
        <v>Journal of World Business</v>
      </c>
      <c r="C1979" s="1" t="s">
        <v>10</v>
      </c>
      <c r="D1979" s="1">
        <v>4750</v>
      </c>
      <c r="E1979" s="1">
        <v>4440</v>
      </c>
      <c r="F1979" s="1">
        <v>3800</v>
      </c>
      <c r="G1979" s="1">
        <v>589140</v>
      </c>
    </row>
    <row r="1980" spans="1:7" x14ac:dyDescent="0.25">
      <c r="A1980" s="1" t="s">
        <v>2195</v>
      </c>
      <c r="B1980" s="2" t="str">
        <f>HYPERLINK("https://www.elsevier.com/locate/issn/2352-5878", "JPRAS Open")</f>
        <v>JPRAS Open</v>
      </c>
      <c r="C1980" s="1" t="s">
        <v>23</v>
      </c>
      <c r="D1980" s="1">
        <v>1920</v>
      </c>
      <c r="E1980" s="1">
        <v>1750</v>
      </c>
      <c r="F1980" s="1">
        <v>1540</v>
      </c>
      <c r="G1980" s="1">
        <v>238140</v>
      </c>
    </row>
    <row r="1981" spans="1:7" x14ac:dyDescent="0.25">
      <c r="A1981" s="1" t="s">
        <v>2196</v>
      </c>
      <c r="B1981" s="2" t="str">
        <f>HYPERLINK("https://www.elsevier.com/locate/issn/2772-6967", "JSAMS Plus")</f>
        <v>JSAMS Plus</v>
      </c>
      <c r="C1981" s="1" t="s">
        <v>23</v>
      </c>
      <c r="D1981" s="1">
        <v>1950</v>
      </c>
      <c r="E1981" s="1">
        <v>1820</v>
      </c>
      <c r="F1981" s="1">
        <v>1560</v>
      </c>
      <c r="G1981" s="1">
        <v>241860</v>
      </c>
    </row>
    <row r="1982" spans="1:7" x14ac:dyDescent="0.25">
      <c r="A1982" s="1" t="s">
        <v>2197</v>
      </c>
      <c r="B1982" s="2" t="str">
        <f>HYPERLINK("https://www.elsevier.com/locate/issn/2666-6383", "JSES International")</f>
        <v>JSES International</v>
      </c>
      <c r="C1982" s="1" t="s">
        <v>23</v>
      </c>
      <c r="D1982" s="1">
        <v>1250</v>
      </c>
      <c r="E1982" s="1">
        <v>1170</v>
      </c>
      <c r="F1982" s="1">
        <v>1000</v>
      </c>
      <c r="G1982" s="1">
        <v>155040</v>
      </c>
    </row>
    <row r="1983" spans="1:7" x14ac:dyDescent="0.25">
      <c r="A1983" s="1" t="s">
        <v>2198</v>
      </c>
      <c r="B1983" s="2" t="str">
        <f>HYPERLINK("https://www.elsevier.com/locate/issn/2666-2736", "JTCVS Open")</f>
        <v>JTCVS Open</v>
      </c>
      <c r="C1983" s="1" t="s">
        <v>23</v>
      </c>
      <c r="D1983" s="1">
        <v>2431</v>
      </c>
      <c r="E1983" s="1">
        <v>2270</v>
      </c>
      <c r="F1983" s="1">
        <v>1950</v>
      </c>
      <c r="G1983" s="1">
        <v>301520</v>
      </c>
    </row>
    <row r="1984" spans="1:7" x14ac:dyDescent="0.25">
      <c r="A1984" s="1" t="s">
        <v>2199</v>
      </c>
      <c r="B1984" s="2" t="str">
        <f>HYPERLINK("https://www.elsevier.com/locate/issn/2950-6050", "JTCVS Structural and Endovascular")</f>
        <v>JTCVS Structural and Endovascular</v>
      </c>
      <c r="C1984" s="1" t="s">
        <v>23</v>
      </c>
      <c r="D1984" s="1">
        <v>2500</v>
      </c>
      <c r="E1984" s="1">
        <v>2340</v>
      </c>
      <c r="F1984" s="1">
        <v>2000</v>
      </c>
      <c r="G1984" s="1">
        <v>310080</v>
      </c>
    </row>
    <row r="1985" spans="1:7" x14ac:dyDescent="0.25">
      <c r="A1985" s="1" t="s">
        <v>2200</v>
      </c>
      <c r="B1985" s="2" t="str">
        <f>HYPERLINK("https://www.elsevier.com/locate/issn/2666-2507", "JTCVS Techniques")</f>
        <v>JTCVS Techniques</v>
      </c>
      <c r="C1985" s="1" t="s">
        <v>23</v>
      </c>
      <c r="D1985" s="1">
        <v>2553</v>
      </c>
      <c r="E1985" s="1">
        <v>2390</v>
      </c>
      <c r="F1985" s="1">
        <v>2040</v>
      </c>
      <c r="G1985" s="1">
        <v>316650</v>
      </c>
    </row>
    <row r="1986" spans="1:7" x14ac:dyDescent="0.25">
      <c r="A1986" s="1" t="s">
        <v>2201</v>
      </c>
      <c r="B1986" s="2" t="str">
        <f>HYPERLINK("https://www.elsevier.com/locate/issn/2666-3643", "JTO Clinical and Research Reports")</f>
        <v>JTO Clinical and Research Reports</v>
      </c>
      <c r="C1986" s="1" t="s">
        <v>23</v>
      </c>
      <c r="D1986" s="1">
        <v>2000</v>
      </c>
      <c r="E1986" s="1">
        <v>1870</v>
      </c>
      <c r="F1986" s="1">
        <v>1600</v>
      </c>
      <c r="G1986" s="1">
        <v>248060</v>
      </c>
    </row>
    <row r="1987" spans="1:7" x14ac:dyDescent="0.25">
      <c r="A1987" s="1" t="s">
        <v>2202</v>
      </c>
      <c r="B1987" s="2" t="str">
        <f>HYPERLINK("https://www.elsevier.com/locate/issn/2949-9127", "JVS-Vascular Insights")</f>
        <v>JVS-Vascular Insights</v>
      </c>
      <c r="C1987" s="1" t="s">
        <v>23</v>
      </c>
      <c r="D1987" s="1">
        <v>2000</v>
      </c>
      <c r="E1987" s="1">
        <v>1870</v>
      </c>
      <c r="F1987" s="1">
        <v>1600</v>
      </c>
      <c r="G1987" s="1">
        <v>248060</v>
      </c>
    </row>
    <row r="1988" spans="1:7" x14ac:dyDescent="0.25">
      <c r="A1988" s="1" t="s">
        <v>2203</v>
      </c>
      <c r="B1988" s="2" t="str">
        <f>HYPERLINK("https://www.elsevier.com/locate/issn/2666-3503", "JVS - Vascular Science")</f>
        <v>JVS - Vascular Science</v>
      </c>
      <c r="C1988" s="1" t="s">
        <v>23</v>
      </c>
      <c r="D1988" s="1">
        <v>2800</v>
      </c>
      <c r="E1988" s="1">
        <v>2620</v>
      </c>
      <c r="F1988" s="1">
        <v>2240</v>
      </c>
      <c r="G1988" s="1">
        <v>347280</v>
      </c>
    </row>
    <row r="1989" spans="1:7" x14ac:dyDescent="0.25">
      <c r="A1989" s="1" t="s">
        <v>2204</v>
      </c>
      <c r="B1989" s="2" t="str">
        <f>HYPERLINK("https://www.elsevier.com/locate/issn/0085-2538", "Kidney International")</f>
        <v>Kidney International</v>
      </c>
      <c r="C1989" s="1" t="s">
        <v>10</v>
      </c>
      <c r="D1989" s="1">
        <v>3500</v>
      </c>
      <c r="E1989" s="1">
        <v>3270</v>
      </c>
      <c r="F1989" s="1">
        <v>2800</v>
      </c>
      <c r="G1989" s="1">
        <v>434110</v>
      </c>
    </row>
    <row r="1990" spans="1:7" x14ac:dyDescent="0.25">
      <c r="A1990" s="1" t="s">
        <v>2205</v>
      </c>
      <c r="B1990" s="2" t="str">
        <f>HYPERLINK("https://www.elsevier.com/locate/issn/2468-0249", "Kidney International Reports")</f>
        <v>Kidney International Reports</v>
      </c>
      <c r="C1990" s="1" t="s">
        <v>23</v>
      </c>
      <c r="D1990" s="1">
        <v>2800</v>
      </c>
      <c r="E1990" s="1">
        <v>2620</v>
      </c>
      <c r="F1990" s="1">
        <v>2240</v>
      </c>
      <c r="G1990" s="1">
        <v>347280</v>
      </c>
    </row>
    <row r="1991" spans="1:7" x14ac:dyDescent="0.25">
      <c r="A1991" s="1" t="s">
        <v>2206</v>
      </c>
      <c r="B1991" s="2" t="str">
        <f>HYPERLINK("https://www.elsevier.com/locate/issn/2157-1716", "Kidney International Supplements")</f>
        <v>Kidney International Supplements</v>
      </c>
      <c r="C1991" s="1" t="s">
        <v>10</v>
      </c>
      <c r="D1991" s="1">
        <v>3500</v>
      </c>
      <c r="E1991" s="1">
        <v>3270</v>
      </c>
      <c r="F1991" s="1">
        <v>2800</v>
      </c>
      <c r="G1991" s="1">
        <v>434110</v>
      </c>
    </row>
    <row r="1992" spans="1:7" x14ac:dyDescent="0.25">
      <c r="A1992" s="1" t="s">
        <v>2207</v>
      </c>
      <c r="B1992" s="2" t="str">
        <f>HYPERLINK("https://www.elsevier.com/locate/issn/2590-0595", "Kidney Medicine")</f>
        <v>Kidney Medicine</v>
      </c>
      <c r="C1992" s="1" t="s">
        <v>23</v>
      </c>
      <c r="D1992" s="1">
        <v>2590</v>
      </c>
      <c r="E1992" s="1">
        <v>2420</v>
      </c>
      <c r="F1992" s="1">
        <v>2070</v>
      </c>
      <c r="G1992" s="1">
        <v>321240</v>
      </c>
    </row>
    <row r="1993" spans="1:7" x14ac:dyDescent="0.25">
      <c r="A1993" s="1" t="s">
        <v>2208</v>
      </c>
      <c r="B1993" s="2" t="str">
        <f>HYPERLINK("https://www.elsevier.com/locate/issn/0950-7051", "Knowledge-Based Systems")</f>
        <v>Knowledge-Based Systems</v>
      </c>
      <c r="C1993" s="1" t="s">
        <v>10</v>
      </c>
      <c r="D1993" s="1">
        <v>3430</v>
      </c>
      <c r="E1993" s="1">
        <v>3210</v>
      </c>
      <c r="F1993" s="1">
        <v>2750</v>
      </c>
      <c r="G1993" s="1">
        <v>425420</v>
      </c>
    </row>
    <row r="1994" spans="1:7" x14ac:dyDescent="0.25">
      <c r="A1994" s="1" t="s">
        <v>2209</v>
      </c>
      <c r="B1994" s="2" t="str">
        <f>HYPERLINK("https://www.elsevier.com/locate/issn/1226-7988", "KSCE Journal of Civil Engineering")</f>
        <v>KSCE Journal of Civil Engineering</v>
      </c>
      <c r="C1994" s="1" t="s">
        <v>23</v>
      </c>
      <c r="D1994" s="1">
        <v>1800</v>
      </c>
      <c r="E1994" s="1">
        <v>1680</v>
      </c>
      <c r="F1994" s="1">
        <v>1440</v>
      </c>
      <c r="G1994" s="1">
        <v>223250</v>
      </c>
    </row>
    <row r="1995" spans="1:7" x14ac:dyDescent="0.25">
      <c r="A1995" s="1" t="s">
        <v>2210</v>
      </c>
      <c r="B1995" s="2" t="str">
        <f>HYPERLINK("https://www.elsevier.com/locate/issn/2307-4108", "Kuwait Journal of Science")</f>
        <v>Kuwait Journal of Science</v>
      </c>
      <c r="C1995" s="1" t="s">
        <v>23</v>
      </c>
      <c r="D1995" s="1">
        <v>1100</v>
      </c>
      <c r="E1995" s="1">
        <v>1030</v>
      </c>
      <c r="F1995" s="1">
        <v>880</v>
      </c>
      <c r="G1995" s="1">
        <v>136430</v>
      </c>
    </row>
    <row r="1996" spans="1:7" x14ac:dyDescent="0.25">
      <c r="A1996" s="1" t="s">
        <v>2211</v>
      </c>
      <c r="B1996" s="2" t="str">
        <f>HYPERLINK("https://www.elsevier.com/locate/issn/0013-7006", "L’Encéphale")</f>
        <v>L’Encéphale</v>
      </c>
      <c r="C1996" s="1" t="s">
        <v>10</v>
      </c>
      <c r="D1996" s="1">
        <v>2240</v>
      </c>
      <c r="E1996" s="1">
        <v>2040</v>
      </c>
      <c r="F1996" s="1">
        <v>1790</v>
      </c>
      <c r="G1996" s="1">
        <v>277830</v>
      </c>
    </row>
    <row r="1997" spans="1:7" x14ac:dyDescent="0.25">
      <c r="A1997" s="1" t="s">
        <v>2212</v>
      </c>
      <c r="B1997" s="2" t="str">
        <f>HYPERLINK("https://www.elsevier.com/locate/issn/0014-3855", "L'Évolution Psychiatrique")</f>
        <v>L'Évolution Psychiatrique</v>
      </c>
      <c r="C1997" s="1" t="s">
        <v>10</v>
      </c>
      <c r="D1997" s="1">
        <v>2720</v>
      </c>
      <c r="E1997" s="1">
        <v>2480</v>
      </c>
      <c r="F1997" s="1">
        <v>2180</v>
      </c>
      <c r="G1997" s="1">
        <v>337360</v>
      </c>
    </row>
    <row r="1998" spans="1:7" x14ac:dyDescent="0.25">
      <c r="A1998" s="1" t="s">
        <v>2213</v>
      </c>
      <c r="B1998" s="2" t="str">
        <f>HYPERLINK("https://www.elsevier.com/locate/issn/0755-4982", "La Presse Médicale")</f>
        <v>La Presse Médicale</v>
      </c>
      <c r="C1998" s="1" t="s">
        <v>10</v>
      </c>
      <c r="D1998" s="1">
        <v>2320</v>
      </c>
      <c r="E1998" s="1">
        <v>2120</v>
      </c>
      <c r="F1998" s="1">
        <v>1860</v>
      </c>
      <c r="G1998" s="1">
        <v>287750</v>
      </c>
    </row>
    <row r="1999" spans="1:7" x14ac:dyDescent="0.25">
      <c r="A1999" s="1" t="s">
        <v>2214</v>
      </c>
      <c r="B1999" s="2" t="str">
        <f>HYPERLINK("https://www.elsevier.com/locate/issn/2666-4798", "La Presse Médicale Formation")</f>
        <v>La Presse Médicale Formation</v>
      </c>
      <c r="C1999" s="1" t="s">
        <v>10</v>
      </c>
      <c r="D1999" s="1">
        <v>1580</v>
      </c>
      <c r="E1999" s="1">
        <v>1440</v>
      </c>
      <c r="F1999" s="1">
        <v>1260</v>
      </c>
      <c r="G1999" s="1">
        <v>195970</v>
      </c>
    </row>
    <row r="2000" spans="1:7" x14ac:dyDescent="0.25">
      <c r="A2000" s="1" t="s">
        <v>2215</v>
      </c>
      <c r="B2000" s="2" t="str">
        <f>HYPERLINK("https://www.elsevier.com/locate/issn/2590-2504", "La Presse Médicale Open")</f>
        <v>La Presse Médicale Open</v>
      </c>
      <c r="C2000" s="1" t="s">
        <v>23</v>
      </c>
      <c r="D2000" s="1">
        <v>1740</v>
      </c>
      <c r="E2000" s="1">
        <v>1590</v>
      </c>
      <c r="F2000" s="1">
        <v>1390</v>
      </c>
      <c r="G2000" s="1">
        <v>215810</v>
      </c>
    </row>
    <row r="2001" spans="1:7" x14ac:dyDescent="0.25">
      <c r="A2001" s="1" t="s">
        <v>2216</v>
      </c>
      <c r="B2001" s="2" t="str">
        <f>HYPERLINK("https://www.elsevier.com/locate/issn/0248-8663", "La Revue de Médecine Interne")</f>
        <v>La Revue de Médecine Interne</v>
      </c>
      <c r="C2001" s="1" t="s">
        <v>10</v>
      </c>
      <c r="D2001" s="1">
        <v>2300</v>
      </c>
      <c r="E2001" s="1">
        <v>2150</v>
      </c>
      <c r="F2001" s="1">
        <v>1840</v>
      </c>
      <c r="G2001" s="1">
        <v>285270</v>
      </c>
    </row>
    <row r="2002" spans="1:7" x14ac:dyDescent="0.25">
      <c r="A2002" s="1" t="s">
        <v>2217</v>
      </c>
      <c r="B2002" s="2" t="str">
        <f>HYPERLINK("https://www.elsevier.com/locate/issn/3050-4740", "LabMed Discovery")</f>
        <v>LabMed Discovery</v>
      </c>
      <c r="C2002" s="1" t="s">
        <v>23</v>
      </c>
      <c r="D2002" s="1">
        <v>2300</v>
      </c>
      <c r="E2002" s="1">
        <v>2150</v>
      </c>
      <c r="F2002" s="1">
        <v>1840</v>
      </c>
      <c r="G2002" s="1">
        <v>285270</v>
      </c>
    </row>
    <row r="2003" spans="1:7" x14ac:dyDescent="0.25">
      <c r="A2003" s="1" t="s">
        <v>2218</v>
      </c>
      <c r="B2003" s="2" t="str">
        <f>HYPERLINK("https://www.elsevier.com/locate/issn/0023-6837", "Laboratory Investigation")</f>
        <v>Laboratory Investigation</v>
      </c>
      <c r="C2003" s="1" t="s">
        <v>10</v>
      </c>
      <c r="D2003" s="1">
        <v>4480</v>
      </c>
      <c r="E2003" s="1">
        <v>4190</v>
      </c>
      <c r="F2003" s="1">
        <v>3590</v>
      </c>
      <c r="G2003" s="1">
        <v>555650</v>
      </c>
    </row>
    <row r="2004" spans="1:7" x14ac:dyDescent="0.25">
      <c r="A2004" s="1" t="s">
        <v>2219</v>
      </c>
      <c r="B2004" s="2" t="str">
        <f>HYPERLINK("https://www.elsevier.com/locate/issn/0927-5371", "Labour Economics")</f>
        <v>Labour Economics</v>
      </c>
      <c r="C2004" s="1" t="s">
        <v>10</v>
      </c>
      <c r="D2004" s="1">
        <v>3240</v>
      </c>
      <c r="E2004" s="1">
        <v>3030</v>
      </c>
      <c r="F2004" s="1">
        <v>2590</v>
      </c>
      <c r="G2004" s="1">
        <v>401860</v>
      </c>
    </row>
    <row r="2005" spans="1:7" x14ac:dyDescent="0.25">
      <c r="A2005" s="1" t="s">
        <v>2220</v>
      </c>
      <c r="B2005" s="2" t="str">
        <f>HYPERLINK("https://www.elsevier.com/locate/issn/0264-8377", "Land Use Policy")</f>
        <v>Land Use Policy</v>
      </c>
      <c r="C2005" s="1" t="s">
        <v>10</v>
      </c>
      <c r="D2005" s="1">
        <v>4230</v>
      </c>
      <c r="E2005" s="1">
        <v>3960</v>
      </c>
      <c r="F2005" s="1">
        <v>3390</v>
      </c>
      <c r="G2005" s="1">
        <v>524650</v>
      </c>
    </row>
    <row r="2006" spans="1:7" x14ac:dyDescent="0.25">
      <c r="A2006" s="1" t="s">
        <v>2221</v>
      </c>
      <c r="B2006" s="2" t="str">
        <f>HYPERLINK("https://www.elsevier.com/locate/issn/0169-2046", "Landscape and Urban Planning")</f>
        <v>Landscape and Urban Planning</v>
      </c>
      <c r="C2006" s="1" t="s">
        <v>10</v>
      </c>
      <c r="D2006" s="1">
        <v>3810</v>
      </c>
      <c r="E2006" s="1">
        <v>3560</v>
      </c>
      <c r="F2006" s="1">
        <v>3050</v>
      </c>
      <c r="G2006" s="1">
        <v>472550</v>
      </c>
    </row>
    <row r="2007" spans="1:7" x14ac:dyDescent="0.25">
      <c r="A2007" s="1" t="s">
        <v>2222</v>
      </c>
      <c r="B2007" s="2" t="str">
        <f>HYPERLINK("https://www.elsevier.com/locate/issn/3050-7324", "Landscape Architecture and Sustainability")</f>
        <v>Landscape Architecture and Sustainability</v>
      </c>
      <c r="C2007" s="1" t="s">
        <v>34</v>
      </c>
      <c r="D2007" s="1" t="s">
        <v>324</v>
      </c>
      <c r="E2007" s="1" t="s">
        <v>324</v>
      </c>
      <c r="F2007" s="1" t="s">
        <v>324</v>
      </c>
      <c r="G2007" s="1" t="s">
        <v>324</v>
      </c>
    </row>
    <row r="2008" spans="1:7" x14ac:dyDescent="0.25">
      <c r="A2008" s="1" t="s">
        <v>2223</v>
      </c>
      <c r="B2008" s="2" t="str">
        <f>HYPERLINK("https://www.elsevier.com/locate/issn/0271-5309", "Language &amp; Communication")</f>
        <v>Language &amp; Communication</v>
      </c>
      <c r="C2008" s="1" t="s">
        <v>10</v>
      </c>
      <c r="D2008" s="1">
        <v>3030</v>
      </c>
      <c r="E2008" s="1">
        <v>2830</v>
      </c>
      <c r="F2008" s="1">
        <v>2430</v>
      </c>
      <c r="G2008" s="1">
        <v>375810</v>
      </c>
    </row>
    <row r="2009" spans="1:7" x14ac:dyDescent="0.25">
      <c r="A2009" s="1" t="s">
        <v>2224</v>
      </c>
      <c r="B2009" s="2" t="str">
        <f>HYPERLINK("https://www.elsevier.com/locate/issn/2949-9038", "Language and Health")</f>
        <v>Language and Health</v>
      </c>
      <c r="C2009" s="1" t="s">
        <v>23</v>
      </c>
      <c r="D2009" s="1">
        <v>1600</v>
      </c>
      <c r="E2009" s="1">
        <v>1500</v>
      </c>
      <c r="F2009" s="1">
        <v>1280</v>
      </c>
      <c r="G2009" s="1">
        <v>198450</v>
      </c>
    </row>
    <row r="2010" spans="1:7" x14ac:dyDescent="0.25">
      <c r="A2010" s="1" t="s">
        <v>2225</v>
      </c>
      <c r="B2010" s="2" t="str">
        <f>HYPERLINK("https://www.elsevier.com/locate/issn/0388-0001", "Language Sciences")</f>
        <v>Language Sciences</v>
      </c>
      <c r="C2010" s="1" t="s">
        <v>10</v>
      </c>
      <c r="D2010" s="1">
        <v>2510</v>
      </c>
      <c r="E2010" s="1">
        <v>2350</v>
      </c>
      <c r="F2010" s="1">
        <v>2010</v>
      </c>
      <c r="G2010" s="1">
        <v>311320</v>
      </c>
    </row>
    <row r="2011" spans="1:7" x14ac:dyDescent="0.25">
      <c r="A2011" s="1" t="s">
        <v>2226</v>
      </c>
      <c r="B2011" s="2" t="str">
        <f>HYPERLINK("https://www.elsevier.com/locate/issn/2666-1438", "Latin American Journal of Central Banking")</f>
        <v>Latin American Journal of Central Banking</v>
      </c>
      <c r="C2011" s="1" t="s">
        <v>23</v>
      </c>
      <c r="D2011" s="1">
        <v>1700</v>
      </c>
      <c r="E2011" s="1">
        <v>1590</v>
      </c>
      <c r="F2011" s="1">
        <v>1360</v>
      </c>
      <c r="G2011" s="1">
        <v>210850</v>
      </c>
    </row>
    <row r="2012" spans="1:7" x14ac:dyDescent="0.25">
      <c r="A2012" s="1" t="s">
        <v>2227</v>
      </c>
      <c r="B2012" s="2" t="str">
        <f>HYPERLINK("https://www.elsevier.com/locate/issn/2950-0249", "Latin American Transport Studies")</f>
        <v>Latin American Transport Studies</v>
      </c>
      <c r="C2012" s="1" t="s">
        <v>10</v>
      </c>
      <c r="D2012" s="1">
        <v>1550</v>
      </c>
      <c r="E2012" s="1">
        <v>1450</v>
      </c>
      <c r="F2012" s="1">
        <v>1240</v>
      </c>
      <c r="G2012" s="1">
        <v>192250</v>
      </c>
    </row>
    <row r="2013" spans="1:7" x14ac:dyDescent="0.25">
      <c r="A2013" s="1" t="s">
        <v>2228</v>
      </c>
      <c r="B2013" s="2" t="str">
        <f>HYPERLINK("https://www.elsevier.com/locate/issn/2772-9532", "Le Pharmacien Clinicien")</f>
        <v>Le Pharmacien Clinicien</v>
      </c>
      <c r="C2013" s="1" t="s">
        <v>10</v>
      </c>
      <c r="D2013" s="1">
        <v>2530</v>
      </c>
      <c r="E2013" s="1">
        <v>2370</v>
      </c>
      <c r="F2013" s="1">
        <v>2030</v>
      </c>
      <c r="G2013" s="1">
        <v>313800</v>
      </c>
    </row>
    <row r="2014" spans="1:7" x14ac:dyDescent="0.25">
      <c r="A2014" s="1" t="s">
        <v>2229</v>
      </c>
      <c r="B2014" s="2" t="str">
        <f>HYPERLINK("https://www.elsevier.com/locate/issn/1279-7960", "Le Praticien en Anesthésie Réanimation")</f>
        <v>Le Praticien en Anesthésie Réanimation</v>
      </c>
      <c r="C2014" s="1" t="s">
        <v>10</v>
      </c>
      <c r="D2014" s="1">
        <v>2020</v>
      </c>
      <c r="E2014" s="1">
        <v>1840</v>
      </c>
      <c r="F2014" s="1">
        <v>1620</v>
      </c>
      <c r="G2014" s="1">
        <v>250540</v>
      </c>
    </row>
    <row r="2015" spans="1:7" x14ac:dyDescent="0.25">
      <c r="A2015" s="1" t="s">
        <v>2230</v>
      </c>
      <c r="B2015" s="2" t="str">
        <f>HYPERLINK("https://www.elsevier.com/locate/issn/1041-6080", "Learning and Individual Differences")</f>
        <v>Learning and Individual Differences</v>
      </c>
      <c r="C2015" s="1" t="s">
        <v>10</v>
      </c>
      <c r="D2015" s="1">
        <v>3640</v>
      </c>
      <c r="E2015" s="1">
        <v>3410</v>
      </c>
      <c r="F2015" s="1">
        <v>2910</v>
      </c>
      <c r="G2015" s="1">
        <v>451470</v>
      </c>
    </row>
    <row r="2016" spans="1:7" x14ac:dyDescent="0.25">
      <c r="A2016" s="1" t="s">
        <v>2231</v>
      </c>
      <c r="B2016" s="2" t="str">
        <f>HYPERLINK("https://www.elsevier.com/locate/issn/0959-4752", "Learning and Instruction")</f>
        <v>Learning and Instruction</v>
      </c>
      <c r="C2016" s="1" t="s">
        <v>10</v>
      </c>
      <c r="D2016" s="1">
        <v>4580</v>
      </c>
      <c r="E2016" s="1">
        <v>4280</v>
      </c>
      <c r="F2016" s="1">
        <v>3670</v>
      </c>
      <c r="G2016" s="1">
        <v>568060</v>
      </c>
    </row>
    <row r="2017" spans="1:7" x14ac:dyDescent="0.25">
      <c r="A2017" s="1" t="s">
        <v>2232</v>
      </c>
      <c r="B2017" s="2" t="str">
        <f>HYPERLINK("https://www.elsevier.com/locate/issn/0023-9690", "Learning and Motivation")</f>
        <v>Learning and Motivation</v>
      </c>
      <c r="C2017" s="1" t="s">
        <v>10</v>
      </c>
      <c r="D2017" s="1">
        <v>3360</v>
      </c>
      <c r="E2017" s="1">
        <v>3140</v>
      </c>
      <c r="F2017" s="1">
        <v>2690</v>
      </c>
      <c r="G2017" s="1">
        <v>416740</v>
      </c>
    </row>
    <row r="2018" spans="1:7" x14ac:dyDescent="0.25">
      <c r="A2018" s="1" t="s">
        <v>2233</v>
      </c>
      <c r="B2018" s="2" t="str">
        <f>HYPERLINK("https://www.elsevier.com/locate/issn/3050-578X", "Learning in Context")</f>
        <v>Learning in Context</v>
      </c>
      <c r="C2018" s="1" t="s">
        <v>10</v>
      </c>
      <c r="D2018" s="1">
        <v>3070</v>
      </c>
      <c r="E2018" s="1">
        <v>2800</v>
      </c>
      <c r="F2018" s="1">
        <v>2460</v>
      </c>
      <c r="G2018" s="1">
        <v>380770</v>
      </c>
    </row>
    <row r="2019" spans="1:7" x14ac:dyDescent="0.25">
      <c r="A2019" s="1" t="s">
        <v>2234</v>
      </c>
      <c r="B2019" s="2" t="str">
        <f>HYPERLINK("https://www.elsevier.com/locate/issn/1344-6223", "Legal Medicine")</f>
        <v>Legal Medicine</v>
      </c>
      <c r="C2019" s="1" t="s">
        <v>10</v>
      </c>
      <c r="D2019" s="1">
        <v>3540</v>
      </c>
      <c r="E2019" s="1">
        <v>3310</v>
      </c>
      <c r="F2019" s="1">
        <v>2830</v>
      </c>
      <c r="G2019" s="1">
        <v>439070</v>
      </c>
    </row>
    <row r="2020" spans="1:7" x14ac:dyDescent="0.25">
      <c r="A2020" s="1" t="s">
        <v>2235</v>
      </c>
      <c r="B2020" s="2" t="str">
        <f>HYPERLINK("https://www.elsevier.com/locate/issn/1570-1808", "Letters in Drug Design &amp; Discovery")</f>
        <v>Letters in Drug Design &amp; Discovery</v>
      </c>
      <c r="C2020" s="1" t="s">
        <v>34</v>
      </c>
      <c r="D2020" s="1" t="s">
        <v>324</v>
      </c>
      <c r="E2020" s="1" t="s">
        <v>324</v>
      </c>
      <c r="F2020" s="1" t="s">
        <v>324</v>
      </c>
      <c r="G2020" s="1" t="s">
        <v>324</v>
      </c>
    </row>
    <row r="2021" spans="1:7" x14ac:dyDescent="0.25">
      <c r="A2021" s="1" t="s">
        <v>2236</v>
      </c>
      <c r="B2021" s="2" t="str">
        <f>HYPERLINK("https://www.elsevier.com/locate/issn/0145-2126", "Leukemia Research")</f>
        <v>Leukemia Research</v>
      </c>
      <c r="C2021" s="1" t="s">
        <v>10</v>
      </c>
      <c r="D2021" s="1">
        <v>3910</v>
      </c>
      <c r="E2021" s="1">
        <v>3660</v>
      </c>
      <c r="F2021" s="1">
        <v>3130</v>
      </c>
      <c r="G2021" s="1">
        <v>484960</v>
      </c>
    </row>
    <row r="2022" spans="1:7" x14ac:dyDescent="0.25">
      <c r="A2022" s="1" t="s">
        <v>2237</v>
      </c>
      <c r="B2022" s="2" t="str">
        <f>HYPERLINK("https://www.elsevier.com/locate/issn/2213-0489", "Leukemia Research Reports")</f>
        <v>Leukemia Research Reports</v>
      </c>
      <c r="C2022" s="1" t="s">
        <v>23</v>
      </c>
      <c r="D2022" s="1">
        <v>1180</v>
      </c>
      <c r="E2022" s="1">
        <v>1100</v>
      </c>
      <c r="F2022" s="1">
        <v>940</v>
      </c>
      <c r="G2022" s="1">
        <v>146360</v>
      </c>
    </row>
    <row r="2023" spans="1:7" x14ac:dyDescent="0.25">
      <c r="A2023" s="1" t="s">
        <v>2238</v>
      </c>
      <c r="B2023" s="2" t="str">
        <f>HYPERLINK("https://www.elsevier.com/locate/issn/0740-8188", "Library &amp; Information Science Research")</f>
        <v>Library &amp; Information Science Research</v>
      </c>
      <c r="C2023" s="1" t="s">
        <v>10</v>
      </c>
      <c r="D2023" s="1">
        <v>3630</v>
      </c>
      <c r="E2023" s="1">
        <v>3400</v>
      </c>
      <c r="F2023" s="1">
        <v>2910</v>
      </c>
      <c r="G2023" s="1">
        <v>450230</v>
      </c>
    </row>
    <row r="2024" spans="1:7" x14ac:dyDescent="0.25">
      <c r="A2024" s="1" t="s">
        <v>2239</v>
      </c>
      <c r="B2024" s="2" t="str">
        <f>HYPERLINK("https://www.elsevier.com/locate/issn/0024-3205", "Life Sciences")</f>
        <v>Life Sciences</v>
      </c>
      <c r="C2024" s="1" t="s">
        <v>10</v>
      </c>
      <c r="D2024" s="1">
        <v>3810</v>
      </c>
      <c r="E2024" s="1">
        <v>3560</v>
      </c>
      <c r="F2024" s="1">
        <v>3050</v>
      </c>
      <c r="G2024" s="1">
        <v>472550</v>
      </c>
    </row>
    <row r="2025" spans="1:7" x14ac:dyDescent="0.25">
      <c r="A2025" s="1" t="s">
        <v>2240</v>
      </c>
      <c r="B2025" s="2" t="str">
        <f>HYPERLINK("https://www.elsevier.com/locate/issn/2214-5524", "Life Sciences in Space Research")</f>
        <v>Life Sciences in Space Research</v>
      </c>
      <c r="C2025" s="1" t="s">
        <v>10</v>
      </c>
      <c r="D2025" s="1">
        <v>3190</v>
      </c>
      <c r="E2025" s="1">
        <v>2980</v>
      </c>
      <c r="F2025" s="1">
        <v>2550</v>
      </c>
      <c r="G2025" s="1">
        <v>395660</v>
      </c>
    </row>
    <row r="2026" spans="1:7" x14ac:dyDescent="0.25">
      <c r="A2026" s="1" t="s">
        <v>2241</v>
      </c>
      <c r="B2026" s="2" t="str">
        <f>HYPERLINK("https://www.elsevier.com/locate/issn/0075-9511", "Limnologica")</f>
        <v>Limnologica</v>
      </c>
      <c r="C2026" s="1" t="s">
        <v>10</v>
      </c>
      <c r="D2026" s="1">
        <v>3820</v>
      </c>
      <c r="E2026" s="1">
        <v>3570</v>
      </c>
      <c r="F2026" s="1">
        <v>3060</v>
      </c>
      <c r="G2026" s="1">
        <v>473790</v>
      </c>
    </row>
    <row r="2027" spans="1:7" x14ac:dyDescent="0.25">
      <c r="A2027" s="1" t="s">
        <v>2242</v>
      </c>
      <c r="B2027" s="2" t="str">
        <f>HYPERLINK("https://www.elsevier.com/locate/issn/0024-3795", "Linear Algebra and its Applications")</f>
        <v>Linear Algebra and its Applications</v>
      </c>
      <c r="C2027" s="1" t="s">
        <v>10</v>
      </c>
      <c r="D2027" s="1">
        <v>3230</v>
      </c>
      <c r="E2027" s="1">
        <v>3020</v>
      </c>
      <c r="F2027" s="1">
        <v>2590</v>
      </c>
      <c r="G2027" s="1">
        <v>400620</v>
      </c>
    </row>
    <row r="2028" spans="1:7" x14ac:dyDescent="0.25">
      <c r="A2028" s="1" t="s">
        <v>2243</v>
      </c>
      <c r="B2028" s="2" t="str">
        <f>HYPERLINK("https://www.elsevier.com/locate/issn/0024-3841", "Lingua")</f>
        <v>Lingua</v>
      </c>
      <c r="C2028" s="1" t="s">
        <v>10</v>
      </c>
      <c r="D2028" s="1">
        <v>2640</v>
      </c>
      <c r="E2028" s="1">
        <v>2470</v>
      </c>
      <c r="F2028" s="1">
        <v>2110</v>
      </c>
      <c r="G2028" s="1">
        <v>327440</v>
      </c>
    </row>
    <row r="2029" spans="1:7" x14ac:dyDescent="0.25">
      <c r="A2029" s="1" t="s">
        <v>2244</v>
      </c>
      <c r="B2029" s="2" t="str">
        <f>HYPERLINK("https://www.elsevier.com/locate/issn/0898-5898", "Linguistics and Education")</f>
        <v>Linguistics and Education</v>
      </c>
      <c r="C2029" s="1" t="s">
        <v>10</v>
      </c>
      <c r="D2029" s="1">
        <v>2620</v>
      </c>
      <c r="E2029" s="1">
        <v>2450</v>
      </c>
      <c r="F2029" s="1">
        <v>2100</v>
      </c>
      <c r="G2029" s="1">
        <v>324960</v>
      </c>
    </row>
    <row r="2030" spans="1:7" x14ac:dyDescent="0.25">
      <c r="A2030" s="1" t="s">
        <v>2245</v>
      </c>
      <c r="B2030" s="2" t="str">
        <f>HYPERLINK("https://www.elsevier.com/locate/issn/0024-4937", "Lithos")</f>
        <v>Lithos</v>
      </c>
      <c r="C2030" s="1" t="s">
        <v>10</v>
      </c>
      <c r="D2030" s="1">
        <v>3350</v>
      </c>
      <c r="E2030" s="1">
        <v>3130</v>
      </c>
      <c r="F2030" s="1">
        <v>2680</v>
      </c>
      <c r="G2030" s="1">
        <v>415500</v>
      </c>
    </row>
    <row r="2031" spans="1:7" x14ac:dyDescent="0.25">
      <c r="A2031" s="1" t="s">
        <v>2246</v>
      </c>
      <c r="B2031" s="2" t="str">
        <f>HYPERLINK("https://www.elsevier.com/locate/issn/2542-5684", "Liver Research")</f>
        <v>Liver Research</v>
      </c>
      <c r="C2031" s="1" t="s">
        <v>34</v>
      </c>
      <c r="D2031" s="1" t="s">
        <v>324</v>
      </c>
      <c r="E2031" s="1" t="s">
        <v>324</v>
      </c>
      <c r="F2031" s="1" t="s">
        <v>324</v>
      </c>
      <c r="G2031" s="1" t="s">
        <v>324</v>
      </c>
    </row>
    <row r="2032" spans="1:7" x14ac:dyDescent="0.25">
      <c r="A2032" s="1" t="s">
        <v>2247</v>
      </c>
      <c r="B2032" s="2" t="str">
        <f>HYPERLINK("https://www.elsevier.com/locate/issn/1871-1413", "Livestock Science")</f>
        <v>Livestock Science</v>
      </c>
      <c r="C2032" s="1" t="s">
        <v>10</v>
      </c>
      <c r="D2032" s="1">
        <v>2970</v>
      </c>
      <c r="E2032" s="1">
        <v>2780</v>
      </c>
      <c r="F2032" s="1">
        <v>2380</v>
      </c>
      <c r="G2032" s="1">
        <v>368370</v>
      </c>
    </row>
    <row r="2033" spans="1:7" x14ac:dyDescent="0.25">
      <c r="A2033" s="1" t="s">
        <v>2248</v>
      </c>
      <c r="B2033" s="2" t="str">
        <f>HYPERLINK("https://www.elsevier.com/locate/issn/0024-6301", "Long Range Planning")</f>
        <v>Long Range Planning</v>
      </c>
      <c r="C2033" s="1" t="s">
        <v>10</v>
      </c>
      <c r="D2033" s="1">
        <v>3900</v>
      </c>
      <c r="E2033" s="1">
        <v>3650</v>
      </c>
      <c r="F2033" s="1">
        <v>3120</v>
      </c>
      <c r="G2033" s="1">
        <v>483720</v>
      </c>
    </row>
    <row r="2034" spans="1:7" x14ac:dyDescent="0.25">
      <c r="A2034" s="1" t="s">
        <v>2249</v>
      </c>
      <c r="B2034" s="2" t="str">
        <f>HYPERLINK("https://www.elsevier.com/locate/issn/0169-5002", "Lung Cancer")</f>
        <v>Lung Cancer</v>
      </c>
      <c r="C2034" s="1" t="s">
        <v>10</v>
      </c>
      <c r="D2034" s="1">
        <v>3390</v>
      </c>
      <c r="E2034" s="1">
        <v>3170</v>
      </c>
      <c r="F2034" s="1">
        <v>2710</v>
      </c>
      <c r="G2034" s="1">
        <v>420460</v>
      </c>
    </row>
    <row r="2035" spans="1:7" x14ac:dyDescent="0.25">
      <c r="A2035" s="1" t="s">
        <v>2250</v>
      </c>
      <c r="B2035" s="2" t="str">
        <f>HYPERLINK("https://www.elsevier.com/locate/issn/0023-6438", "LWT")</f>
        <v>LWT</v>
      </c>
      <c r="C2035" s="1" t="s">
        <v>23</v>
      </c>
      <c r="D2035" s="1">
        <v>3030</v>
      </c>
      <c r="E2035" s="1">
        <v>2830</v>
      </c>
      <c r="F2035" s="1">
        <v>2430</v>
      </c>
      <c r="G2035" s="1">
        <v>375810</v>
      </c>
    </row>
    <row r="2036" spans="1:7" x14ac:dyDescent="0.25">
      <c r="A2036" s="1" t="s">
        <v>2251</v>
      </c>
      <c r="B2036" s="2" t="str">
        <f>HYPERLINK("https://www.elsevier.com/locate/issn/2666-8270", "Machine Learning with Applications")</f>
        <v>Machine Learning with Applications</v>
      </c>
      <c r="C2036" s="1" t="s">
        <v>23</v>
      </c>
      <c r="D2036" s="1">
        <v>2340</v>
      </c>
      <c r="E2036" s="1">
        <v>2190</v>
      </c>
      <c r="F2036" s="1">
        <v>1870</v>
      </c>
      <c r="G2036" s="1">
        <v>290230</v>
      </c>
    </row>
    <row r="2037" spans="1:7" x14ac:dyDescent="0.25">
      <c r="A2037" s="1" t="s">
        <v>2252</v>
      </c>
      <c r="B2037" s="2" t="str">
        <f>HYPERLINK("https://www.elsevier.com/locate/issn/2950-5844", "Magnetic Medicine")</f>
        <v>Magnetic Medicine</v>
      </c>
      <c r="C2037" s="1" t="s">
        <v>34</v>
      </c>
      <c r="D2037" s="1" t="s">
        <v>324</v>
      </c>
      <c r="E2037" s="1" t="s">
        <v>324</v>
      </c>
      <c r="F2037" s="1" t="s">
        <v>324</v>
      </c>
      <c r="G2037" s="1" t="s">
        <v>324</v>
      </c>
    </row>
    <row r="2038" spans="1:7" x14ac:dyDescent="0.25">
      <c r="A2038" s="1" t="s">
        <v>2253</v>
      </c>
      <c r="B2038" s="2" t="str">
        <f>HYPERLINK("https://www.elsevier.com/locate/issn/0730-725X", "Magnetic Resonance Imaging")</f>
        <v>Magnetic Resonance Imaging</v>
      </c>
      <c r="C2038" s="1" t="s">
        <v>10</v>
      </c>
      <c r="D2038" s="1">
        <v>3380</v>
      </c>
      <c r="E2038" s="1">
        <v>3160</v>
      </c>
      <c r="F2038" s="1">
        <v>2710</v>
      </c>
      <c r="G2038" s="1">
        <v>419220</v>
      </c>
    </row>
    <row r="2039" spans="1:7" x14ac:dyDescent="0.25">
      <c r="A2039" s="1" t="s">
        <v>2254</v>
      </c>
      <c r="B2039" s="2" t="str">
        <f>HYPERLINK("https://www.elsevier.com/locate/issn/2772-5162", "Magnetic Resonance Letters")</f>
        <v>Magnetic Resonance Letters</v>
      </c>
      <c r="C2039" s="1" t="s">
        <v>34</v>
      </c>
      <c r="D2039" s="1" t="s">
        <v>324</v>
      </c>
      <c r="E2039" s="1" t="s">
        <v>324</v>
      </c>
      <c r="F2039" s="1" t="s">
        <v>324</v>
      </c>
      <c r="G2039" s="1" t="s">
        <v>324</v>
      </c>
    </row>
    <row r="2040" spans="1:7" x14ac:dyDescent="0.25">
      <c r="A2040" s="1" t="s">
        <v>2255</v>
      </c>
      <c r="B2040" s="2" t="str">
        <f>HYPERLINK("https://www.elsevier.com/locate/issn/1044-5005", "Management Accounting Research")</f>
        <v>Management Accounting Research</v>
      </c>
      <c r="C2040" s="1" t="s">
        <v>10</v>
      </c>
      <c r="D2040" s="1">
        <v>3690</v>
      </c>
      <c r="E2040" s="1">
        <v>3450</v>
      </c>
      <c r="F2040" s="1">
        <v>2950</v>
      </c>
      <c r="G2040" s="1">
        <v>457670</v>
      </c>
    </row>
    <row r="2041" spans="1:7" x14ac:dyDescent="0.25">
      <c r="A2041" s="1" t="s">
        <v>2256</v>
      </c>
      <c r="B2041" s="2" t="str">
        <f>HYPERLINK("https://www.elsevier.com/locate/issn/2213-8463", "Manufacturing Letters")</f>
        <v>Manufacturing Letters</v>
      </c>
      <c r="C2041" s="1" t="s">
        <v>10</v>
      </c>
      <c r="D2041" s="1">
        <v>2000</v>
      </c>
      <c r="E2041" s="1">
        <v>1870</v>
      </c>
      <c r="F2041" s="1">
        <v>1600</v>
      </c>
      <c r="G2041" s="1">
        <v>248060</v>
      </c>
    </row>
    <row r="2042" spans="1:7" x14ac:dyDescent="0.25">
      <c r="A2042" s="1" t="s">
        <v>2257</v>
      </c>
      <c r="B2042" s="2" t="str">
        <f>HYPERLINK("https://www.elsevier.com/locate/issn/0264-8172", "Marine and Petroleum Geology")</f>
        <v>Marine and Petroleum Geology</v>
      </c>
      <c r="C2042" s="1" t="s">
        <v>10</v>
      </c>
      <c r="D2042" s="1">
        <v>3440</v>
      </c>
      <c r="E2042" s="1">
        <v>3220</v>
      </c>
      <c r="F2042" s="1">
        <v>2750</v>
      </c>
      <c r="G2042" s="1">
        <v>426660</v>
      </c>
    </row>
    <row r="2043" spans="1:7" x14ac:dyDescent="0.25">
      <c r="A2043" s="1" t="s">
        <v>2258</v>
      </c>
      <c r="B2043" s="2" t="str">
        <f>HYPERLINK("https://www.elsevier.com/locate/issn/0304-4203", "Marine Chemistry")</f>
        <v>Marine Chemistry</v>
      </c>
      <c r="C2043" s="1" t="s">
        <v>10</v>
      </c>
      <c r="D2043" s="1">
        <v>3280</v>
      </c>
      <c r="E2043" s="1">
        <v>3070</v>
      </c>
      <c r="F2043" s="1">
        <v>2630</v>
      </c>
      <c r="G2043" s="1">
        <v>406820</v>
      </c>
    </row>
    <row r="2044" spans="1:7" x14ac:dyDescent="0.25">
      <c r="A2044" s="1" t="s">
        <v>2259</v>
      </c>
      <c r="B2044" s="2" t="str">
        <f>HYPERLINK("https://www.elsevier.com/locate/issn/0141-1136", "Marine Environmental Research")</f>
        <v>Marine Environmental Research</v>
      </c>
      <c r="C2044" s="1" t="s">
        <v>10</v>
      </c>
      <c r="D2044" s="1">
        <v>3440</v>
      </c>
      <c r="E2044" s="1">
        <v>3220</v>
      </c>
      <c r="F2044" s="1">
        <v>2750</v>
      </c>
      <c r="G2044" s="1">
        <v>426660</v>
      </c>
    </row>
    <row r="2045" spans="1:7" x14ac:dyDescent="0.25">
      <c r="A2045" s="1" t="s">
        <v>2260</v>
      </c>
      <c r="B2045" s="2" t="str">
        <f>HYPERLINK("https://www.elsevier.com/locate/issn/1874-7787", "Marine Genomics")</f>
        <v>Marine Genomics</v>
      </c>
      <c r="C2045" s="1" t="s">
        <v>10</v>
      </c>
      <c r="D2045" s="1">
        <v>2960</v>
      </c>
      <c r="E2045" s="1">
        <v>2770</v>
      </c>
      <c r="F2045" s="1">
        <v>2370</v>
      </c>
      <c r="G2045" s="1">
        <v>367130</v>
      </c>
    </row>
    <row r="2046" spans="1:7" x14ac:dyDescent="0.25">
      <c r="A2046" s="1" t="s">
        <v>2261</v>
      </c>
      <c r="B2046" s="2" t="str">
        <f>HYPERLINK("https://www.elsevier.com/locate/issn/0025-3227", "Marine Geology")</f>
        <v>Marine Geology</v>
      </c>
      <c r="C2046" s="1" t="s">
        <v>10</v>
      </c>
      <c r="D2046" s="1">
        <v>3770</v>
      </c>
      <c r="E2046" s="1">
        <v>3530</v>
      </c>
      <c r="F2046" s="1">
        <v>3020</v>
      </c>
      <c r="G2046" s="1">
        <v>467590</v>
      </c>
    </row>
    <row r="2047" spans="1:7" x14ac:dyDescent="0.25">
      <c r="A2047" s="1" t="s">
        <v>2262</v>
      </c>
      <c r="B2047" s="2" t="str">
        <f>HYPERLINK("https://www.elsevier.com/locate/issn/0377-8398", "Marine Micropaleontology")</f>
        <v>Marine Micropaleontology</v>
      </c>
      <c r="C2047" s="1" t="s">
        <v>10</v>
      </c>
      <c r="D2047" s="1">
        <v>2480</v>
      </c>
      <c r="E2047" s="1">
        <v>2320</v>
      </c>
      <c r="F2047" s="1">
        <v>1990</v>
      </c>
      <c r="G2047" s="1">
        <v>307590</v>
      </c>
    </row>
    <row r="2048" spans="1:7" x14ac:dyDescent="0.25">
      <c r="A2048" s="1" t="s">
        <v>2263</v>
      </c>
      <c r="B2048" s="2" t="str">
        <f>HYPERLINK("https://www.elsevier.com/locate/issn/0308-597X", "Marine Policy")</f>
        <v>Marine Policy</v>
      </c>
      <c r="C2048" s="1" t="s">
        <v>10</v>
      </c>
      <c r="D2048" s="1">
        <v>4260</v>
      </c>
      <c r="E2048" s="1">
        <v>3990</v>
      </c>
      <c r="F2048" s="1">
        <v>3410</v>
      </c>
      <c r="G2048" s="1">
        <v>528370</v>
      </c>
    </row>
    <row r="2049" spans="1:7" x14ac:dyDescent="0.25">
      <c r="A2049" s="1" t="s">
        <v>2264</v>
      </c>
      <c r="B2049" s="2" t="str">
        <f>HYPERLINK("https://www.elsevier.com/locate/issn/0025-326X", "Marine Pollution Bulletin")</f>
        <v>Marine Pollution Bulletin</v>
      </c>
      <c r="C2049" s="1" t="s">
        <v>10</v>
      </c>
      <c r="D2049" s="1">
        <v>3740</v>
      </c>
      <c r="E2049" s="1">
        <v>3500</v>
      </c>
      <c r="F2049" s="1">
        <v>2990</v>
      </c>
      <c r="G2049" s="1">
        <v>463870</v>
      </c>
    </row>
    <row r="2050" spans="1:7" x14ac:dyDescent="0.25">
      <c r="A2050" s="1" t="s">
        <v>2265</v>
      </c>
      <c r="B2050" s="2" t="str">
        <f>HYPERLINK("https://www.elsevier.com/locate/issn/0951-8339", "Marine Structures")</f>
        <v>Marine Structures</v>
      </c>
      <c r="C2050" s="1" t="s">
        <v>10</v>
      </c>
      <c r="D2050" s="1">
        <v>4320</v>
      </c>
      <c r="E2050" s="1">
        <v>4040</v>
      </c>
      <c r="F2050" s="1">
        <v>3460</v>
      </c>
      <c r="G2050" s="1">
        <v>535810</v>
      </c>
    </row>
    <row r="2051" spans="1:7" x14ac:dyDescent="0.25">
      <c r="A2051" s="1" t="s">
        <v>2266</v>
      </c>
      <c r="B2051" s="2" t="str">
        <f>HYPERLINK("https://www.elsevier.com/locate/issn/2666-822X", "Maritime Transport Research")</f>
        <v>Maritime Transport Research</v>
      </c>
      <c r="C2051" s="1" t="s">
        <v>23</v>
      </c>
      <c r="D2051" s="1">
        <v>2230</v>
      </c>
      <c r="E2051" s="1">
        <v>2090</v>
      </c>
      <c r="F2051" s="1">
        <v>1790</v>
      </c>
      <c r="G2051" s="1">
        <v>276590</v>
      </c>
    </row>
    <row r="2052" spans="1:7" x14ac:dyDescent="0.25">
      <c r="A2052" s="1" t="s">
        <v>2267</v>
      </c>
      <c r="B2052" s="2" t="str">
        <f>HYPERLINK("https://www.elsevier.com/locate/issn/2950-3086", "Marketing Strategy Journal")</f>
        <v>Marketing Strategy Journal</v>
      </c>
      <c r="C2052" s="1" t="s">
        <v>10</v>
      </c>
      <c r="D2052" s="1">
        <v>3000</v>
      </c>
      <c r="E2052" s="1">
        <v>2810</v>
      </c>
      <c r="F2052" s="1">
        <v>2400</v>
      </c>
      <c r="G2052" s="1">
        <v>372090</v>
      </c>
    </row>
    <row r="2053" spans="1:7" x14ac:dyDescent="0.25">
      <c r="A2053" s="1" t="s">
        <v>2268</v>
      </c>
      <c r="B2053" s="2" t="str">
        <f>HYPERLINK("https://www.elsevier.com/locate/issn/3050-4562", "Mass Gathering Medicine")</f>
        <v>Mass Gathering Medicine</v>
      </c>
      <c r="C2053" s="1" t="s">
        <v>23</v>
      </c>
      <c r="D2053" s="1">
        <v>2400</v>
      </c>
      <c r="E2053" s="1">
        <v>2250</v>
      </c>
      <c r="F2053" s="1">
        <v>1920</v>
      </c>
      <c r="G2053" s="1">
        <v>297670</v>
      </c>
    </row>
    <row r="2054" spans="1:7" x14ac:dyDescent="0.25">
      <c r="A2054" s="1" t="s">
        <v>2269</v>
      </c>
      <c r="B2054" s="2" t="str">
        <f>HYPERLINK("https://www.elsevier.com/locate/issn/2589-1529", "Materialia")</f>
        <v>Materialia</v>
      </c>
      <c r="C2054" s="1" t="s">
        <v>10</v>
      </c>
      <c r="D2054" s="1">
        <v>2400</v>
      </c>
      <c r="E2054" s="1">
        <v>2250</v>
      </c>
      <c r="F2054" s="1">
        <v>1920</v>
      </c>
      <c r="G2054" s="1">
        <v>297670</v>
      </c>
    </row>
    <row r="2055" spans="1:7" x14ac:dyDescent="0.25">
      <c r="A2055" s="1" t="s">
        <v>2270</v>
      </c>
      <c r="B2055" s="2" t="str">
        <f>HYPERLINK("https://www.elsevier.com/locate/issn/0264-1275", "Materials &amp; Design")</f>
        <v>Materials &amp; Design</v>
      </c>
      <c r="C2055" s="1" t="s">
        <v>23</v>
      </c>
      <c r="D2055" s="1">
        <v>3540</v>
      </c>
      <c r="E2055" s="1">
        <v>3310</v>
      </c>
      <c r="F2055" s="1">
        <v>2830</v>
      </c>
      <c r="G2055" s="1">
        <v>439070</v>
      </c>
    </row>
    <row r="2056" spans="1:7" x14ac:dyDescent="0.25">
      <c r="A2056" s="1" t="s">
        <v>2271</v>
      </c>
      <c r="B2056" s="2" t="str">
        <f>HYPERLINK("https://www.elsevier.com/locate/issn/1044-5803", "Materials Characterization")</f>
        <v>Materials Characterization</v>
      </c>
      <c r="C2056" s="1" t="s">
        <v>10</v>
      </c>
      <c r="D2056" s="1">
        <v>3320</v>
      </c>
      <c r="E2056" s="1">
        <v>3110</v>
      </c>
      <c r="F2056" s="1">
        <v>2660</v>
      </c>
      <c r="G2056" s="1">
        <v>411780</v>
      </c>
    </row>
    <row r="2057" spans="1:7" x14ac:dyDescent="0.25">
      <c r="A2057" s="1" t="s">
        <v>2272</v>
      </c>
      <c r="B2057" s="2" t="str">
        <f>HYPERLINK("https://www.elsevier.com/locate/issn/0254-0584", "Materials Chemistry and Physics")</f>
        <v>Materials Chemistry and Physics</v>
      </c>
      <c r="C2057" s="1" t="s">
        <v>10</v>
      </c>
      <c r="D2057" s="1">
        <v>3230</v>
      </c>
      <c r="E2057" s="1">
        <v>3020</v>
      </c>
      <c r="F2057" s="1">
        <v>2590</v>
      </c>
      <c r="G2057" s="1">
        <v>400620</v>
      </c>
    </row>
    <row r="2058" spans="1:7" x14ac:dyDescent="0.25">
      <c r="A2058" s="1" t="s">
        <v>2273</v>
      </c>
      <c r="B2058" s="2" t="str">
        <f>HYPERLINK("https://www.elsevier.com/locate/issn/3050-4716", "Materials Chemistry and Physics: Sustainability and Energy")</f>
        <v>Materials Chemistry and Physics: Sustainability and Energy</v>
      </c>
      <c r="C2058" s="1" t="s">
        <v>10</v>
      </c>
      <c r="D2058" s="1">
        <v>2200</v>
      </c>
      <c r="E2058" s="1">
        <v>2060</v>
      </c>
      <c r="F2058" s="1">
        <v>1760</v>
      </c>
      <c r="G2058" s="1">
        <v>272870</v>
      </c>
    </row>
    <row r="2059" spans="1:7" x14ac:dyDescent="0.25">
      <c r="A2059" s="1" t="s">
        <v>2274</v>
      </c>
      <c r="B2059" s="2" t="str">
        <f>HYPERLINK("https://www.elsevier.com/locate/issn/0167-577X", "Materials Letters")</f>
        <v>Materials Letters</v>
      </c>
      <c r="C2059" s="1" t="s">
        <v>10</v>
      </c>
      <c r="D2059" s="1">
        <v>2870</v>
      </c>
      <c r="E2059" s="1">
        <v>2680</v>
      </c>
      <c r="F2059" s="1">
        <v>2300</v>
      </c>
      <c r="G2059" s="1">
        <v>355970</v>
      </c>
    </row>
    <row r="2060" spans="1:7" x14ac:dyDescent="0.25">
      <c r="A2060" s="1" t="s">
        <v>2275</v>
      </c>
      <c r="B2060" s="2" t="str">
        <f>HYPERLINK("https://www.elsevier.com/locate/issn/2590-1508", "Materials Letters: X")</f>
        <v>Materials Letters: X</v>
      </c>
      <c r="C2060" s="1" t="s">
        <v>23</v>
      </c>
      <c r="D2060" s="1">
        <v>2240</v>
      </c>
      <c r="E2060" s="1">
        <v>2100</v>
      </c>
      <c r="F2060" s="1">
        <v>1790</v>
      </c>
      <c r="G2060" s="1">
        <v>277830</v>
      </c>
    </row>
    <row r="2061" spans="1:7" x14ac:dyDescent="0.25">
      <c r="A2061" s="1" t="s">
        <v>2276</v>
      </c>
      <c r="B2061" s="2" t="str">
        <f>HYPERLINK("https://www.elsevier.com/locate/issn/2666-9358", "Materials Reports: Energy")</f>
        <v>Materials Reports: Energy</v>
      </c>
      <c r="C2061" s="1" t="s">
        <v>34</v>
      </c>
      <c r="D2061" s="1" t="s">
        <v>324</v>
      </c>
      <c r="E2061" s="1" t="s">
        <v>324</v>
      </c>
      <c r="F2061" s="1" t="s">
        <v>324</v>
      </c>
      <c r="G2061" s="1" t="s">
        <v>324</v>
      </c>
    </row>
    <row r="2062" spans="1:7" x14ac:dyDescent="0.25">
      <c r="A2062" s="1" t="s">
        <v>2277</v>
      </c>
      <c r="B2062" s="2" t="str">
        <f>HYPERLINK("https://www.elsevier.com/locate/issn/0025-5408", "Materials Research Bulletin")</f>
        <v>Materials Research Bulletin</v>
      </c>
      <c r="C2062" s="1" t="s">
        <v>10</v>
      </c>
      <c r="D2062" s="1">
        <v>3610</v>
      </c>
      <c r="E2062" s="1">
        <v>3380</v>
      </c>
      <c r="F2062" s="1">
        <v>2890</v>
      </c>
      <c r="G2062" s="1">
        <v>447750</v>
      </c>
    </row>
    <row r="2063" spans="1:7" x14ac:dyDescent="0.25">
      <c r="A2063" s="1" t="s">
        <v>2278</v>
      </c>
      <c r="B2063" s="2" t="str">
        <f>HYPERLINK("https://www.elsevier.com/locate/issn/0921-5093", "Materials Science and Engineering: A")</f>
        <v>Materials Science and Engineering: A</v>
      </c>
      <c r="C2063" s="1" t="s">
        <v>10</v>
      </c>
      <c r="D2063" s="1">
        <v>3430</v>
      </c>
      <c r="E2063" s="1">
        <v>3210</v>
      </c>
      <c r="F2063" s="1">
        <v>2750</v>
      </c>
      <c r="G2063" s="1">
        <v>425420</v>
      </c>
    </row>
    <row r="2064" spans="1:7" x14ac:dyDescent="0.25">
      <c r="A2064" s="1" t="s">
        <v>2279</v>
      </c>
      <c r="B2064" s="2" t="str">
        <f>HYPERLINK("https://www.elsevier.com/locate/issn/0921-5107", "Materials Science and Engineering: B")</f>
        <v>Materials Science and Engineering: B</v>
      </c>
      <c r="C2064" s="1" t="s">
        <v>10</v>
      </c>
      <c r="D2064" s="1">
        <v>3140</v>
      </c>
      <c r="E2064" s="1">
        <v>2940</v>
      </c>
      <c r="F2064" s="1">
        <v>2510</v>
      </c>
      <c r="G2064" s="1">
        <v>389450</v>
      </c>
    </row>
    <row r="2065" spans="1:7" x14ac:dyDescent="0.25">
      <c r="A2065" s="1" t="s">
        <v>2280</v>
      </c>
      <c r="B2065" s="2" t="str">
        <f>HYPERLINK("https://www.elsevier.com/locate/issn/0927-796X", "Materials Science and Engineering: R: Reports")</f>
        <v>Materials Science and Engineering: R: Reports</v>
      </c>
      <c r="C2065" s="1" t="s">
        <v>10</v>
      </c>
      <c r="D2065" s="1">
        <v>6150</v>
      </c>
      <c r="E2065" s="1">
        <v>5750</v>
      </c>
      <c r="F2065" s="1">
        <v>4920</v>
      </c>
      <c r="G2065" s="1">
        <v>762780</v>
      </c>
    </row>
    <row r="2066" spans="1:7" x14ac:dyDescent="0.25">
      <c r="A2066" s="1" t="s">
        <v>2281</v>
      </c>
      <c r="B2066" s="2" t="str">
        <f>HYPERLINK("https://www.elsevier.com/locate/issn/2589-2991", "Materials Science for Energy Technologies")</f>
        <v>Materials Science for Energy Technologies</v>
      </c>
      <c r="C2066" s="1" t="s">
        <v>34</v>
      </c>
      <c r="D2066" s="1">
        <v>840</v>
      </c>
      <c r="E2066" s="1">
        <v>790</v>
      </c>
      <c r="F2066" s="1">
        <v>670</v>
      </c>
      <c r="G2066" s="1">
        <v>104190</v>
      </c>
    </row>
    <row r="2067" spans="1:7" x14ac:dyDescent="0.25">
      <c r="A2067" s="1" t="s">
        <v>2282</v>
      </c>
      <c r="B2067" s="2" t="str">
        <f>HYPERLINK("https://www.elsevier.com/locate/issn/1369-8001", "Materials Science in Semiconductor Processing")</f>
        <v>Materials Science in Semiconductor Processing</v>
      </c>
      <c r="C2067" s="1" t="s">
        <v>10</v>
      </c>
      <c r="D2067" s="1">
        <v>3540</v>
      </c>
      <c r="E2067" s="1">
        <v>3310</v>
      </c>
      <c r="F2067" s="1">
        <v>2830</v>
      </c>
      <c r="G2067" s="1">
        <v>439070</v>
      </c>
    </row>
    <row r="2068" spans="1:7" x14ac:dyDescent="0.25">
      <c r="A2068" s="1" t="s">
        <v>2283</v>
      </c>
      <c r="B2068" s="2" t="str">
        <f>HYPERLINK("https://www.elsevier.com/locate/issn/1369-7021", "Materials Today")</f>
        <v>Materials Today</v>
      </c>
      <c r="C2068" s="1" t="s">
        <v>10</v>
      </c>
      <c r="D2068" s="1">
        <v>6070</v>
      </c>
      <c r="E2068" s="1">
        <v>5680</v>
      </c>
      <c r="F2068" s="1">
        <v>4860</v>
      </c>
      <c r="G2068" s="1">
        <v>752860</v>
      </c>
    </row>
    <row r="2069" spans="1:7" x14ac:dyDescent="0.25">
      <c r="A2069" s="1" t="s">
        <v>2284</v>
      </c>
      <c r="B2069" s="2" t="str">
        <f>HYPERLINK("https://www.elsevier.com/locate/issn/2590-0498", "Materials Today Advances")</f>
        <v>Materials Today Advances</v>
      </c>
      <c r="C2069" s="1" t="s">
        <v>23</v>
      </c>
      <c r="D2069" s="1">
        <v>3790</v>
      </c>
      <c r="E2069" s="1">
        <v>3550</v>
      </c>
      <c r="F2069" s="1">
        <v>3030</v>
      </c>
      <c r="G2069" s="1">
        <v>470070</v>
      </c>
    </row>
    <row r="2070" spans="1:7" x14ac:dyDescent="0.25">
      <c r="A2070" s="1" t="s">
        <v>2285</v>
      </c>
      <c r="B2070" s="2" t="str">
        <f>HYPERLINK("https://www.elsevier.com/locate/issn/2590-0064", "Materials Today Bio")</f>
        <v>Materials Today Bio</v>
      </c>
      <c r="C2070" s="1" t="s">
        <v>23</v>
      </c>
      <c r="D2070" s="1">
        <v>3170</v>
      </c>
      <c r="E2070" s="1">
        <v>2970</v>
      </c>
      <c r="F2070" s="1">
        <v>2540</v>
      </c>
      <c r="G2070" s="1">
        <v>393180</v>
      </c>
    </row>
    <row r="2071" spans="1:7" x14ac:dyDescent="0.25">
      <c r="A2071" s="1" t="s">
        <v>2286</v>
      </c>
      <c r="B2071" s="2" t="str">
        <f>HYPERLINK("https://www.elsevier.com/locate/issn/2949-754X", "Materials Today Catalysis")</f>
        <v>Materials Today Catalysis</v>
      </c>
      <c r="C2071" s="1" t="s">
        <v>23</v>
      </c>
      <c r="D2071" s="1">
        <v>3080</v>
      </c>
      <c r="E2071" s="1">
        <v>2880</v>
      </c>
      <c r="F2071" s="1">
        <v>2470</v>
      </c>
      <c r="G2071" s="1">
        <v>382010</v>
      </c>
    </row>
    <row r="2072" spans="1:7" x14ac:dyDescent="0.25">
      <c r="A2072" s="1" t="s">
        <v>2287</v>
      </c>
      <c r="B2072" s="2" t="str">
        <f>HYPERLINK("https://www.elsevier.com/locate/issn/2468-5194", "Materials Today Chemistry")</f>
        <v>Materials Today Chemistry</v>
      </c>
      <c r="C2072" s="1" t="s">
        <v>10</v>
      </c>
      <c r="D2072" s="1">
        <v>3500</v>
      </c>
      <c r="E2072" s="1">
        <v>3270</v>
      </c>
      <c r="F2072" s="1">
        <v>2800</v>
      </c>
      <c r="G2072" s="1">
        <v>434110</v>
      </c>
    </row>
    <row r="2073" spans="1:7" x14ac:dyDescent="0.25">
      <c r="A2073" s="1" t="s">
        <v>2288</v>
      </c>
      <c r="B2073" s="2" t="str">
        <f>HYPERLINK("https://www.elsevier.com/locate/issn/2352-4928", "Materials Today Communications")</f>
        <v>Materials Today Communications</v>
      </c>
      <c r="C2073" s="1" t="s">
        <v>10</v>
      </c>
      <c r="D2073" s="1">
        <v>2830</v>
      </c>
      <c r="E2073" s="1">
        <v>2650</v>
      </c>
      <c r="F2073" s="1">
        <v>2270</v>
      </c>
      <c r="G2073" s="1">
        <v>351000</v>
      </c>
    </row>
    <row r="2074" spans="1:7" x14ac:dyDescent="0.25">
      <c r="A2074" s="1" t="s">
        <v>2289</v>
      </c>
      <c r="B2074" s="2" t="str">
        <f>HYPERLINK("https://www.elsevier.com/locate/issn/2772-9494", "Materials Today Electronics")</f>
        <v>Materials Today Electronics</v>
      </c>
      <c r="C2074" s="1" t="s">
        <v>23</v>
      </c>
      <c r="D2074" s="1">
        <v>2860</v>
      </c>
      <c r="E2074" s="1">
        <v>2680</v>
      </c>
      <c r="F2074" s="1">
        <v>2290</v>
      </c>
      <c r="G2074" s="1">
        <v>354730</v>
      </c>
    </row>
    <row r="2075" spans="1:7" x14ac:dyDescent="0.25">
      <c r="A2075" s="1" t="s">
        <v>2290</v>
      </c>
      <c r="B2075" s="2" t="str">
        <f>HYPERLINK("https://www.elsevier.com/locate/issn/2468-6069", "Materials Today Energy")</f>
        <v>Materials Today Energy</v>
      </c>
      <c r="C2075" s="1" t="s">
        <v>10</v>
      </c>
      <c r="D2075" s="1">
        <v>4220</v>
      </c>
      <c r="E2075" s="1">
        <v>3950</v>
      </c>
      <c r="F2075" s="1">
        <v>3380</v>
      </c>
      <c r="G2075" s="1">
        <v>523410</v>
      </c>
    </row>
    <row r="2076" spans="1:7" x14ac:dyDescent="0.25">
      <c r="A2076" s="1" t="s">
        <v>2291</v>
      </c>
      <c r="B2076" s="2" t="str">
        <f>HYPERLINK("https://www.elsevier.com/locate/issn/2588-8420", "Materials Today Nano")</f>
        <v>Materials Today Nano</v>
      </c>
      <c r="C2076" s="1" t="s">
        <v>10</v>
      </c>
      <c r="D2076" s="1">
        <v>4140</v>
      </c>
      <c r="E2076" s="1">
        <v>3870</v>
      </c>
      <c r="F2076" s="1">
        <v>3310</v>
      </c>
      <c r="G2076" s="1">
        <v>513480</v>
      </c>
    </row>
    <row r="2077" spans="1:7" x14ac:dyDescent="0.25">
      <c r="A2077" s="1" t="s">
        <v>2292</v>
      </c>
      <c r="B2077" s="2" t="str">
        <f>HYPERLINK("https://www.elsevier.com/locate/issn/2542-5293", "Materials Today Physics")</f>
        <v>Materials Today Physics</v>
      </c>
      <c r="C2077" s="1" t="s">
        <v>10</v>
      </c>
      <c r="D2077" s="1">
        <v>4160</v>
      </c>
      <c r="E2077" s="1">
        <v>3890</v>
      </c>
      <c r="F2077" s="1">
        <v>3330</v>
      </c>
      <c r="G2077" s="1">
        <v>515960</v>
      </c>
    </row>
    <row r="2078" spans="1:7" x14ac:dyDescent="0.25">
      <c r="A2078" s="1" t="s">
        <v>2293</v>
      </c>
      <c r="B2078" s="2" t="str">
        <f>HYPERLINK("https://www.elsevier.com/locate/issn/2950-2578", "Materials Today Quantum")</f>
        <v>Materials Today Quantum</v>
      </c>
      <c r="C2078" s="1" t="s">
        <v>23</v>
      </c>
      <c r="D2078" s="1">
        <v>2770</v>
      </c>
      <c r="E2078" s="1">
        <v>2590</v>
      </c>
      <c r="F2078" s="1">
        <v>2220</v>
      </c>
      <c r="G2078" s="1">
        <v>343560</v>
      </c>
    </row>
    <row r="2079" spans="1:7" x14ac:dyDescent="0.25">
      <c r="A2079" s="1" t="s">
        <v>2294</v>
      </c>
      <c r="B2079" s="2" t="str">
        <f>HYPERLINK("https://www.elsevier.com/locate/issn/2589-2347", "Materials Today Sustainability")</f>
        <v>Materials Today Sustainability</v>
      </c>
      <c r="C2079" s="1" t="s">
        <v>23</v>
      </c>
      <c r="D2079" s="1">
        <v>2530</v>
      </c>
      <c r="E2079" s="1">
        <v>2370</v>
      </c>
      <c r="F2079" s="1">
        <v>2030</v>
      </c>
      <c r="G2079" s="1">
        <v>313800</v>
      </c>
    </row>
    <row r="2080" spans="1:7" x14ac:dyDescent="0.25">
      <c r="A2080" s="1" t="s">
        <v>2295</v>
      </c>
      <c r="B2080" s="2" t="str">
        <f>HYPERLINK("https://www.elsevier.com/locate/issn/2214-7853", "Materials Today: Proceedings")</f>
        <v>Materials Today: Proceedings</v>
      </c>
      <c r="C2080" s="1" t="s">
        <v>10</v>
      </c>
      <c r="D2080" s="1">
        <v>200</v>
      </c>
      <c r="E2080" s="1">
        <v>190</v>
      </c>
      <c r="F2080" s="1">
        <v>160</v>
      </c>
      <c r="G2080" s="1">
        <v>24810</v>
      </c>
    </row>
    <row r="2081" spans="1:7" x14ac:dyDescent="0.25">
      <c r="A2081" s="1" t="s">
        <v>2296</v>
      </c>
      <c r="B2081" s="2" t="str">
        <f>HYPERLINK("https://www.elsevier.com/locate/issn/0025-5564", "Mathematical Biosciences")</f>
        <v>Mathematical Biosciences</v>
      </c>
      <c r="C2081" s="1" t="s">
        <v>10</v>
      </c>
      <c r="D2081" s="1">
        <v>2660</v>
      </c>
      <c r="E2081" s="1">
        <v>2490</v>
      </c>
      <c r="F2081" s="1">
        <v>2130</v>
      </c>
      <c r="G2081" s="1">
        <v>329920</v>
      </c>
    </row>
    <row r="2082" spans="1:7" x14ac:dyDescent="0.25">
      <c r="A2082" s="1" t="s">
        <v>2297</v>
      </c>
      <c r="B2082" s="2" t="str">
        <f>HYPERLINK("https://www.elsevier.com/locate/issn/0165-4896", "Mathematical Social Sciences")</f>
        <v>Mathematical Social Sciences</v>
      </c>
      <c r="C2082" s="1" t="s">
        <v>10</v>
      </c>
      <c r="D2082" s="1">
        <v>2850</v>
      </c>
      <c r="E2082" s="1">
        <v>2670</v>
      </c>
      <c r="F2082" s="1">
        <v>2280</v>
      </c>
      <c r="G2082" s="1">
        <v>353490</v>
      </c>
    </row>
    <row r="2083" spans="1:7" x14ac:dyDescent="0.25">
      <c r="A2083" s="1" t="s">
        <v>2298</v>
      </c>
      <c r="B2083" s="2" t="str">
        <f>HYPERLINK("https://www.elsevier.com/locate/issn/0378-4754", "Mathematics and Computers in Simulation")</f>
        <v>Mathematics and Computers in Simulation</v>
      </c>
      <c r="C2083" s="1" t="s">
        <v>10</v>
      </c>
      <c r="D2083" s="1">
        <v>2170</v>
      </c>
      <c r="E2083" s="1">
        <v>2030</v>
      </c>
      <c r="F2083" s="1">
        <v>1740</v>
      </c>
      <c r="G2083" s="1">
        <v>269150</v>
      </c>
    </row>
    <row r="2084" spans="1:7" x14ac:dyDescent="0.25">
      <c r="A2084" s="1" t="s">
        <v>2299</v>
      </c>
      <c r="B2084" s="2" t="str">
        <f>HYPERLINK("https://www.elsevier.com/locate/issn/0945-053X", "Matrix Biology")</f>
        <v>Matrix Biology</v>
      </c>
      <c r="C2084" s="1" t="s">
        <v>10</v>
      </c>
      <c r="D2084" s="1">
        <v>4280</v>
      </c>
      <c r="E2084" s="1">
        <v>4000</v>
      </c>
      <c r="F2084" s="1">
        <v>3430</v>
      </c>
      <c r="G2084" s="1">
        <v>530850</v>
      </c>
    </row>
    <row r="2085" spans="1:7" x14ac:dyDescent="0.25">
      <c r="A2085" s="1" t="s">
        <v>2300</v>
      </c>
      <c r="B2085" s="2" t="str">
        <f>HYPERLINK("https://www.elsevier.com/locate/issn/2590-0285", "Matrix Biology Plus")</f>
        <v>Matrix Biology Plus</v>
      </c>
      <c r="C2085" s="1" t="s">
        <v>23</v>
      </c>
      <c r="D2085" s="1">
        <v>2360</v>
      </c>
      <c r="E2085" s="1">
        <v>2210</v>
      </c>
      <c r="F2085" s="1">
        <v>1890</v>
      </c>
      <c r="G2085" s="1">
        <v>292710</v>
      </c>
    </row>
    <row r="2086" spans="1:7" x14ac:dyDescent="0.25">
      <c r="A2086" s="1" t="s">
        <v>2301</v>
      </c>
      <c r="B2086" s="2" t="str">
        <f>HYPERLINK("https://www.elsevier.com/locate/issn/2590-2385", "Matter")</f>
        <v>Matter</v>
      </c>
      <c r="C2086" s="1" t="s">
        <v>10</v>
      </c>
      <c r="D2086" s="1">
        <v>9350</v>
      </c>
      <c r="E2086" s="1">
        <v>8660</v>
      </c>
      <c r="F2086" s="1">
        <v>7490</v>
      </c>
      <c r="G2086" s="1">
        <v>1159680</v>
      </c>
    </row>
    <row r="2087" spans="1:7" x14ac:dyDescent="0.25">
      <c r="A2087" s="1" t="s">
        <v>2302</v>
      </c>
      <c r="B2087" s="2" t="str">
        <f>HYPERLINK("https://www.elsevier.com/locate/issn/0378-5122", "Maturitas")</f>
        <v>Maturitas</v>
      </c>
      <c r="C2087" s="1" t="s">
        <v>10</v>
      </c>
      <c r="D2087" s="1">
        <v>4390</v>
      </c>
      <c r="E2087" s="1">
        <v>4110</v>
      </c>
      <c r="F2087" s="1">
        <v>3510</v>
      </c>
      <c r="G2087" s="1">
        <v>544490</v>
      </c>
    </row>
    <row r="2088" spans="1:7" x14ac:dyDescent="0.25">
      <c r="A2088" s="1" t="s">
        <v>2303</v>
      </c>
      <c r="B2088" s="2" t="str">
        <f>HYPERLINK("https://www.elsevier.com/locate/issn/0025-6196", "Mayo Clinic Proceedings")</f>
        <v>Mayo Clinic Proceedings</v>
      </c>
      <c r="C2088" s="1" t="s">
        <v>10</v>
      </c>
      <c r="D2088" s="1">
        <v>4100</v>
      </c>
      <c r="E2088" s="1">
        <v>3840</v>
      </c>
      <c r="F2088" s="1">
        <v>3280</v>
      </c>
      <c r="G2088" s="1">
        <v>508520</v>
      </c>
    </row>
    <row r="2089" spans="1:7" x14ac:dyDescent="0.25">
      <c r="A2089" s="1" t="s">
        <v>2304</v>
      </c>
      <c r="B2089" s="2" t="str">
        <f>HYPERLINK("https://www.elsevier.com/locate/issn/2949-7612", "Mayo Clinic Proceedings: Digital Health")</f>
        <v>Mayo Clinic Proceedings: Digital Health</v>
      </c>
      <c r="C2089" s="1" t="s">
        <v>23</v>
      </c>
      <c r="D2089" s="1">
        <v>2500</v>
      </c>
      <c r="E2089" s="1">
        <v>2340</v>
      </c>
      <c r="F2089" s="1">
        <v>2000</v>
      </c>
      <c r="G2089" s="1">
        <v>310080</v>
      </c>
    </row>
    <row r="2090" spans="1:7" x14ac:dyDescent="0.25">
      <c r="A2090" s="1" t="s">
        <v>2305</v>
      </c>
      <c r="B2090" s="2" t="str">
        <f>HYPERLINK("https://www.elsevier.com/locate/issn/0263-2241", "Measurement")</f>
        <v>Measurement</v>
      </c>
      <c r="C2090" s="1" t="s">
        <v>10</v>
      </c>
      <c r="D2090" s="1">
        <v>3760</v>
      </c>
      <c r="E2090" s="1">
        <v>3520</v>
      </c>
      <c r="F2090" s="1">
        <v>3010</v>
      </c>
      <c r="G2090" s="1">
        <v>466350</v>
      </c>
    </row>
    <row r="2091" spans="1:7" x14ac:dyDescent="0.25">
      <c r="A2091" s="1" t="s">
        <v>2306</v>
      </c>
      <c r="B2091" s="2" t="str">
        <f>HYPERLINK("https://www.elsevier.com/locate/issn/2949-8775", "Measurement and Evaluations in Cancer Care")</f>
        <v>Measurement and Evaluations in Cancer Care</v>
      </c>
      <c r="C2091" s="1" t="s">
        <v>23</v>
      </c>
      <c r="D2091" s="1">
        <v>1740</v>
      </c>
      <c r="E2091" s="1">
        <v>1630</v>
      </c>
      <c r="F2091" s="1">
        <v>1390</v>
      </c>
      <c r="G2091" s="1">
        <v>215810</v>
      </c>
    </row>
    <row r="2092" spans="1:7" x14ac:dyDescent="0.25">
      <c r="A2092" s="1" t="s">
        <v>2307</v>
      </c>
      <c r="B2092" s="2" t="str">
        <f>HYPERLINK("https://www.elsevier.com/locate/issn/3050-6441", "Measurement: Digitalization")</f>
        <v>Measurement: Digitalization</v>
      </c>
      <c r="C2092" s="1" t="s">
        <v>23</v>
      </c>
      <c r="D2092" s="1">
        <v>2100</v>
      </c>
      <c r="E2092" s="1">
        <v>1960</v>
      </c>
      <c r="F2092" s="1">
        <v>1680</v>
      </c>
      <c r="G2092" s="1">
        <v>260460</v>
      </c>
    </row>
    <row r="2093" spans="1:7" x14ac:dyDescent="0.25">
      <c r="A2093" s="1" t="s">
        <v>2308</v>
      </c>
      <c r="B2093" s="2" t="str">
        <f>HYPERLINK("https://www.elsevier.com/locate/issn/2950-3450", "Measurement: Energy")</f>
        <v>Measurement: Energy</v>
      </c>
      <c r="C2093" s="1" t="s">
        <v>23</v>
      </c>
      <c r="D2093" s="1">
        <v>2150</v>
      </c>
      <c r="E2093" s="1">
        <v>2010</v>
      </c>
      <c r="F2093" s="1">
        <v>1720</v>
      </c>
      <c r="G2093" s="1">
        <v>266660</v>
      </c>
    </row>
    <row r="2094" spans="1:7" x14ac:dyDescent="0.25">
      <c r="A2094" s="1" t="s">
        <v>2309</v>
      </c>
      <c r="B2094" s="2" t="str">
        <f>HYPERLINK("https://www.elsevier.com/locate/issn/2772-2759", "Measurement: Food")</f>
        <v>Measurement: Food</v>
      </c>
      <c r="C2094" s="1" t="s">
        <v>23</v>
      </c>
      <c r="D2094" s="1">
        <v>1810</v>
      </c>
      <c r="E2094" s="1">
        <v>1690</v>
      </c>
      <c r="F2094" s="1">
        <v>1450</v>
      </c>
      <c r="G2094" s="1">
        <v>224490</v>
      </c>
    </row>
    <row r="2095" spans="1:7" x14ac:dyDescent="0.25">
      <c r="A2095" s="1" t="s">
        <v>2310</v>
      </c>
      <c r="B2095" s="2" t="str">
        <f>HYPERLINK("https://www.elsevier.com/locate/issn/2665-9174", "Measurement: Sensors")</f>
        <v>Measurement: Sensors</v>
      </c>
      <c r="C2095" s="1" t="s">
        <v>23</v>
      </c>
      <c r="D2095" s="1">
        <v>1910</v>
      </c>
      <c r="E2095" s="1">
        <v>1790</v>
      </c>
      <c r="F2095" s="1">
        <v>1530</v>
      </c>
      <c r="G2095" s="1">
        <v>236900</v>
      </c>
    </row>
    <row r="2096" spans="1:7" x14ac:dyDescent="0.25">
      <c r="A2096" s="1" t="s">
        <v>2311</v>
      </c>
      <c r="B2096" s="2" t="str">
        <f>HYPERLINK("https://www.elsevier.com/locate/issn/0309-1740", "Meat Science")</f>
        <v>Meat Science</v>
      </c>
      <c r="C2096" s="1" t="s">
        <v>10</v>
      </c>
      <c r="D2096" s="1">
        <v>4740</v>
      </c>
      <c r="E2096" s="1">
        <v>4430</v>
      </c>
      <c r="F2096" s="1">
        <v>3790</v>
      </c>
      <c r="G2096" s="1">
        <v>587900</v>
      </c>
    </row>
    <row r="2097" spans="1:7" x14ac:dyDescent="0.25">
      <c r="A2097" s="1" t="s">
        <v>2312</v>
      </c>
      <c r="B2097" s="2" t="str">
        <f>HYPERLINK("https://www.elsevier.com/locate/issn/0888-3270", "Mechanical Systems and Signal Processing")</f>
        <v>Mechanical Systems and Signal Processing</v>
      </c>
      <c r="C2097" s="1" t="s">
        <v>10</v>
      </c>
      <c r="D2097" s="1">
        <v>4730</v>
      </c>
      <c r="E2097" s="1">
        <v>4420</v>
      </c>
      <c r="F2097" s="1">
        <v>3790</v>
      </c>
      <c r="G2097" s="1">
        <v>586660</v>
      </c>
    </row>
    <row r="2098" spans="1:7" x14ac:dyDescent="0.25">
      <c r="A2098" s="1" t="s">
        <v>2313</v>
      </c>
      <c r="B2098" s="2" t="str">
        <f>HYPERLINK("https://www.elsevier.com/locate/issn/0167-6636", "Mechanics of Materials")</f>
        <v>Mechanics of Materials</v>
      </c>
      <c r="C2098" s="1" t="s">
        <v>10</v>
      </c>
      <c r="D2098" s="1">
        <v>3850</v>
      </c>
      <c r="E2098" s="1">
        <v>3600</v>
      </c>
      <c r="F2098" s="1">
        <v>3080</v>
      </c>
      <c r="G2098" s="1">
        <v>477520</v>
      </c>
    </row>
    <row r="2099" spans="1:7" x14ac:dyDescent="0.25">
      <c r="A2099" s="1" t="s">
        <v>2314</v>
      </c>
      <c r="B2099" s="2" t="str">
        <f>HYPERLINK("https://www.elsevier.com/locate/issn/0093-6413", "Mechanics Research Communications")</f>
        <v>Mechanics Research Communications</v>
      </c>
      <c r="C2099" s="1" t="s">
        <v>10</v>
      </c>
      <c r="D2099" s="1">
        <v>3580</v>
      </c>
      <c r="E2099" s="1">
        <v>3350</v>
      </c>
      <c r="F2099" s="1">
        <v>2870</v>
      </c>
      <c r="G2099" s="1">
        <v>444030</v>
      </c>
    </row>
    <row r="2100" spans="1:7" x14ac:dyDescent="0.25">
      <c r="A2100" s="1" t="s">
        <v>2315</v>
      </c>
      <c r="B2100" s="2" t="str">
        <f>HYPERLINK("https://www.elsevier.com/locate/issn/0094-114X", "Mechanism and Machine Theory")</f>
        <v>Mechanism and Machine Theory</v>
      </c>
      <c r="C2100" s="1" t="s">
        <v>10</v>
      </c>
      <c r="D2100" s="1">
        <v>4060</v>
      </c>
      <c r="E2100" s="1">
        <v>3800</v>
      </c>
      <c r="F2100" s="1">
        <v>3250</v>
      </c>
      <c r="G2100" s="1">
        <v>503560</v>
      </c>
    </row>
    <row r="2101" spans="1:7" x14ac:dyDescent="0.25">
      <c r="A2101" s="1" t="s">
        <v>2316</v>
      </c>
      <c r="B2101" s="2" t="str">
        <f>HYPERLINK("https://www.elsevier.com/locate/issn/0047-6374", "Mechanisms of Ageing and Development")</f>
        <v>Mechanisms of Ageing and Development</v>
      </c>
      <c r="C2101" s="1" t="s">
        <v>10</v>
      </c>
      <c r="D2101" s="1">
        <v>4780</v>
      </c>
      <c r="E2101" s="1">
        <v>4470</v>
      </c>
      <c r="F2101" s="1">
        <v>3830</v>
      </c>
      <c r="G2101" s="1">
        <v>592860</v>
      </c>
    </row>
    <row r="2102" spans="1:7" x14ac:dyDescent="0.25">
      <c r="A2102" s="1" t="s">
        <v>2317</v>
      </c>
      <c r="B2102" s="2" t="str">
        <f>HYPERLINK("https://www.elsevier.com/locate/issn/2949-9070", "Mechanobiology in Medicine")</f>
        <v>Mechanobiology in Medicine</v>
      </c>
      <c r="C2102" s="1" t="s">
        <v>23</v>
      </c>
      <c r="D2102" s="1">
        <v>2600</v>
      </c>
      <c r="E2102" s="1">
        <v>2430</v>
      </c>
      <c r="F2102" s="1">
        <v>2080</v>
      </c>
      <c r="G2102" s="1">
        <v>322480</v>
      </c>
    </row>
    <row r="2103" spans="1:7" x14ac:dyDescent="0.25">
      <c r="A2103" s="1" t="s">
        <v>2318</v>
      </c>
      <c r="B2103" s="2" t="str">
        <f>HYPERLINK("https://www.elsevier.com/locate/issn/0957-4158", "Mechatronics")</f>
        <v>Mechatronics</v>
      </c>
      <c r="C2103" s="1" t="s">
        <v>10</v>
      </c>
      <c r="D2103" s="1">
        <v>2940</v>
      </c>
      <c r="E2103" s="1">
        <v>2750</v>
      </c>
      <c r="F2103" s="1">
        <v>2350</v>
      </c>
      <c r="G2103" s="1">
        <v>364650</v>
      </c>
    </row>
    <row r="2104" spans="1:7" x14ac:dyDescent="0.25">
      <c r="A2104" s="1" t="s">
        <v>2319</v>
      </c>
      <c r="B2104" s="2" t="str">
        <f>HYPERLINK("https://www.elsevier.com/locate/issn/2666-6340", "Med")</f>
        <v>Med</v>
      </c>
      <c r="C2104" s="1" t="s">
        <v>10</v>
      </c>
      <c r="D2104" s="1">
        <v>9350</v>
      </c>
      <c r="E2104" s="1">
        <v>8660</v>
      </c>
      <c r="F2104" s="1">
        <v>7490</v>
      </c>
      <c r="G2104" s="1">
        <v>1159680</v>
      </c>
    </row>
    <row r="2105" spans="1:7" x14ac:dyDescent="0.25">
      <c r="A2105" s="1" t="s">
        <v>2320</v>
      </c>
      <c r="B2105" s="2" t="str">
        <f>HYPERLINK("https://www.elsevier.com/locate/issn/0958-3947", "Medical Dosimetry")</f>
        <v>Medical Dosimetry</v>
      </c>
      <c r="C2105" s="1" t="s">
        <v>10</v>
      </c>
      <c r="D2105" s="1">
        <v>2500</v>
      </c>
      <c r="E2105" s="1">
        <v>2340</v>
      </c>
      <c r="F2105" s="1">
        <v>2000</v>
      </c>
      <c r="G2105" s="1">
        <v>310080</v>
      </c>
    </row>
    <row r="2106" spans="1:7" x14ac:dyDescent="0.25">
      <c r="A2106" s="1" t="s">
        <v>2321</v>
      </c>
      <c r="B2106" s="2" t="str">
        <f>HYPERLINK("https://www.elsevier.com/locate/issn/1350-4533", "Medical Engineering &amp; Physics")</f>
        <v>Medical Engineering &amp; Physics</v>
      </c>
      <c r="C2106" s="1" t="s">
        <v>10</v>
      </c>
      <c r="D2106" s="1">
        <v>3170</v>
      </c>
      <c r="E2106" s="1">
        <v>2970</v>
      </c>
      <c r="F2106" s="1">
        <v>2540</v>
      </c>
      <c r="G2106" s="1">
        <v>393180</v>
      </c>
    </row>
    <row r="2107" spans="1:7" x14ac:dyDescent="0.25">
      <c r="A2107" s="1" t="s">
        <v>2322</v>
      </c>
      <c r="B2107" s="2" t="str">
        <f>HYPERLINK("https://www.elsevier.com/locate/issn/0306-9877", "Medical Hypotheses")</f>
        <v>Medical Hypotheses</v>
      </c>
      <c r="C2107" s="1" t="s">
        <v>10</v>
      </c>
      <c r="D2107" s="1">
        <v>3450</v>
      </c>
      <c r="E2107" s="1">
        <v>3230</v>
      </c>
      <c r="F2107" s="1">
        <v>2760</v>
      </c>
      <c r="G2107" s="1">
        <v>427900</v>
      </c>
    </row>
    <row r="2108" spans="1:7" x14ac:dyDescent="0.25">
      <c r="A2108" s="1" t="s">
        <v>2323</v>
      </c>
      <c r="B2108" s="2" t="str">
        <f>HYPERLINK("https://www.elsevier.com/locate/issn/1361-8415", "Medical Image Analysis")</f>
        <v>Medical Image Analysis</v>
      </c>
      <c r="C2108" s="1" t="s">
        <v>10</v>
      </c>
      <c r="D2108" s="1">
        <v>4170</v>
      </c>
      <c r="E2108" s="1">
        <v>3900</v>
      </c>
      <c r="F2108" s="1">
        <v>3340</v>
      </c>
      <c r="G2108" s="1">
        <v>517210</v>
      </c>
    </row>
    <row r="2109" spans="1:7" x14ac:dyDescent="0.25">
      <c r="A2109" s="1" t="s">
        <v>2324</v>
      </c>
      <c r="B2109" s="2" t="str">
        <f>HYPERLINK("https://www.elsevier.com/locate/issn/2211-7539", "Medical Mycology Case Reports")</f>
        <v>Medical Mycology Case Reports</v>
      </c>
      <c r="C2109" s="1" t="s">
        <v>23</v>
      </c>
      <c r="D2109" s="1">
        <v>650</v>
      </c>
      <c r="E2109" s="1">
        <v>610</v>
      </c>
      <c r="F2109" s="1">
        <v>520</v>
      </c>
      <c r="G2109" s="1">
        <v>80620</v>
      </c>
    </row>
    <row r="2110" spans="1:7" x14ac:dyDescent="0.25">
      <c r="A2110" s="1" t="s">
        <v>2325</v>
      </c>
      <c r="B2110" s="2" t="str">
        <f>HYPERLINK("https://www.elsevier.com/locate/issn/2949-9186", "Medical Reports")</f>
        <v>Medical Reports</v>
      </c>
      <c r="C2110" s="1" t="s">
        <v>23</v>
      </c>
      <c r="D2110" s="1">
        <v>1900</v>
      </c>
      <c r="E2110" s="1">
        <v>1780</v>
      </c>
      <c r="F2110" s="1">
        <v>1520</v>
      </c>
      <c r="G2110" s="1">
        <v>235660</v>
      </c>
    </row>
    <row r="2111" spans="1:7" x14ac:dyDescent="0.25">
      <c r="A2111" s="1" t="s">
        <v>2326</v>
      </c>
      <c r="B2111" s="2" t="str">
        <f>HYPERLINK("https://www.elsevier.com/locate/issn/0025-7753", "Medicina Clínica")</f>
        <v>Medicina Clínica</v>
      </c>
      <c r="C2111" s="1" t="s">
        <v>10</v>
      </c>
      <c r="D2111" s="1">
        <v>2800</v>
      </c>
      <c r="E2111" s="1">
        <v>2550</v>
      </c>
      <c r="F2111" s="1">
        <v>2240</v>
      </c>
      <c r="G2111" s="1">
        <v>347280</v>
      </c>
    </row>
    <row r="2112" spans="1:7" x14ac:dyDescent="0.25">
      <c r="A2112" s="1" t="s">
        <v>2327</v>
      </c>
      <c r="B2112" s="2" t="str">
        <f>HYPERLINK("https://www.elsevier.com/locate/issn/2387-0206", "Medicina Clínica (English Edition)")</f>
        <v>Medicina Clínica (English Edition)</v>
      </c>
      <c r="C2112" s="1" t="s">
        <v>10</v>
      </c>
      <c r="D2112" s="1" t="s">
        <v>324</v>
      </c>
      <c r="E2112" s="1" t="s">
        <v>324</v>
      </c>
      <c r="F2112" s="1" t="s">
        <v>324</v>
      </c>
      <c r="G2112" s="1" t="s">
        <v>324</v>
      </c>
    </row>
    <row r="2113" spans="1:7" x14ac:dyDescent="0.25">
      <c r="A2113" s="1" t="s">
        <v>2328</v>
      </c>
      <c r="B2113" s="2" t="str">
        <f>HYPERLINK("https://www.elsevier.com/locate/issn/2603-9249", "Medicina Clínica Práctica")</f>
        <v>Medicina Clínica Práctica</v>
      </c>
      <c r="C2113" s="1" t="s">
        <v>23</v>
      </c>
      <c r="D2113" s="1">
        <v>1340</v>
      </c>
      <c r="E2113" s="1">
        <v>1220</v>
      </c>
      <c r="F2113" s="1">
        <v>1070</v>
      </c>
      <c r="G2113" s="1">
        <v>166200</v>
      </c>
    </row>
    <row r="2114" spans="1:7" x14ac:dyDescent="0.25">
      <c r="A2114" s="1" t="s">
        <v>2329</v>
      </c>
      <c r="B2114" s="2" t="str">
        <f>HYPERLINK("https://www.elsevier.com/locate/issn/1138-3593", "Medicina de Familia. SEMERGEN")</f>
        <v>Medicina de Familia. SEMERGEN</v>
      </c>
      <c r="C2114" s="1" t="s">
        <v>10</v>
      </c>
      <c r="D2114" s="1">
        <v>1860</v>
      </c>
      <c r="E2114" s="1">
        <v>1700</v>
      </c>
      <c r="F2114" s="1">
        <v>1490</v>
      </c>
      <c r="G2114" s="1">
        <v>230700</v>
      </c>
    </row>
    <row r="2115" spans="1:7" x14ac:dyDescent="0.25">
      <c r="A2115" s="1" t="s">
        <v>2330</v>
      </c>
      <c r="B2115" s="2" t="str">
        <f>HYPERLINK("https://www.elsevier.com/locate/issn/0210-5691", "Medicina Intensiva")</f>
        <v>Medicina Intensiva</v>
      </c>
      <c r="C2115" s="1" t="s">
        <v>10</v>
      </c>
      <c r="D2115" s="1">
        <v>2640</v>
      </c>
      <c r="E2115" s="1">
        <v>2410</v>
      </c>
      <c r="F2115" s="1">
        <v>2110</v>
      </c>
      <c r="G2115" s="1">
        <v>327440</v>
      </c>
    </row>
    <row r="2116" spans="1:7" x14ac:dyDescent="0.25">
      <c r="A2116" s="1" t="s">
        <v>2331</v>
      </c>
      <c r="B2116" s="2" t="str">
        <f>HYPERLINK("https://www.elsevier.com/locate/issn/2173-5727", "Medicina Intensiva (English Edition)")</f>
        <v>Medicina Intensiva (English Edition)</v>
      </c>
      <c r="C2116" s="1" t="s">
        <v>10</v>
      </c>
      <c r="D2116" s="1">
        <v>2640</v>
      </c>
      <c r="E2116" s="1">
        <v>2470</v>
      </c>
      <c r="F2116" s="1">
        <v>2110</v>
      </c>
      <c r="G2116" s="1">
        <v>327440</v>
      </c>
    </row>
    <row r="2117" spans="1:7" x14ac:dyDescent="0.25">
      <c r="A2117" s="1" t="s">
        <v>2332</v>
      </c>
      <c r="B2117" s="2" t="str">
        <f>HYPERLINK("https://www.elsevier.com/locate/issn/2590-0986", "Medicine in Drug Discovery")</f>
        <v>Medicine in Drug Discovery</v>
      </c>
      <c r="C2117" s="1" t="s">
        <v>23</v>
      </c>
      <c r="D2117" s="1">
        <v>2460</v>
      </c>
      <c r="E2117" s="1">
        <v>2300</v>
      </c>
      <c r="F2117" s="1">
        <v>1970</v>
      </c>
      <c r="G2117" s="1">
        <v>305110</v>
      </c>
    </row>
    <row r="2118" spans="1:7" x14ac:dyDescent="0.25">
      <c r="A2118" s="1" t="s">
        <v>2333</v>
      </c>
      <c r="B2118" s="2" t="str">
        <f>HYPERLINK("https://www.elsevier.com/locate/issn/2590-0978", "Medicine in Microecology")</f>
        <v>Medicine in Microecology</v>
      </c>
      <c r="C2118" s="1" t="s">
        <v>23</v>
      </c>
      <c r="D2118" s="1">
        <v>2670</v>
      </c>
      <c r="E2118" s="1">
        <v>2500</v>
      </c>
      <c r="F2118" s="1">
        <v>2140</v>
      </c>
      <c r="G2118" s="1">
        <v>331160</v>
      </c>
    </row>
    <row r="2119" spans="1:7" x14ac:dyDescent="0.25">
      <c r="A2119" s="1" t="s">
        <v>2334</v>
      </c>
      <c r="B2119" s="2" t="str">
        <f>HYPERLINK("https://www.elsevier.com/locate/issn/2590-0935", "Medicine in Novel Technology and Devices")</f>
        <v>Medicine in Novel Technology and Devices</v>
      </c>
      <c r="C2119" s="1" t="s">
        <v>23</v>
      </c>
      <c r="D2119" s="1">
        <v>2490</v>
      </c>
      <c r="E2119" s="1">
        <v>2330</v>
      </c>
      <c r="F2119" s="1">
        <v>1990</v>
      </c>
      <c r="G2119" s="1">
        <v>308830</v>
      </c>
    </row>
    <row r="2120" spans="1:7" x14ac:dyDescent="0.25">
      <c r="A2120" s="1" t="s">
        <v>2335</v>
      </c>
      <c r="B2120" s="2" t="str">
        <f>HYPERLINK("https://www.elsevier.com/locate/issn/2590-1249", "Medicine in Omics")</f>
        <v>Medicine in Omics</v>
      </c>
      <c r="C2120" s="1" t="s">
        <v>23</v>
      </c>
      <c r="D2120" s="1">
        <v>2120</v>
      </c>
      <c r="E2120" s="1">
        <v>1980</v>
      </c>
      <c r="F2120" s="1">
        <v>1700</v>
      </c>
      <c r="G2120" s="1">
        <v>262940</v>
      </c>
    </row>
    <row r="2121" spans="1:7" x14ac:dyDescent="0.25">
      <c r="A2121" s="1" t="s">
        <v>2336</v>
      </c>
      <c r="B2121" s="2" t="str">
        <f>HYPERLINK("https://www.elsevier.com/locate/issn/2950-3477", "Medicine Plus")</f>
        <v>Medicine Plus</v>
      </c>
      <c r="C2121" s="1" t="s">
        <v>34</v>
      </c>
      <c r="D2121" s="1" t="s">
        <v>324</v>
      </c>
      <c r="E2121" s="1" t="s">
        <v>324</v>
      </c>
      <c r="F2121" s="1" t="s">
        <v>324</v>
      </c>
      <c r="G2121" s="1" t="s">
        <v>324</v>
      </c>
    </row>
    <row r="2122" spans="1:7" x14ac:dyDescent="0.25">
      <c r="A2122" s="1" t="s">
        <v>2337</v>
      </c>
      <c r="B2122" s="2" t="str">
        <f>HYPERLINK("https://www.elsevier.com/locate/issn/2212-6570", "Mental Health &amp; Prevention")</f>
        <v>Mental Health &amp; Prevention</v>
      </c>
      <c r="C2122" s="1" t="s">
        <v>10</v>
      </c>
      <c r="D2122" s="1">
        <v>2810</v>
      </c>
      <c r="E2122" s="1">
        <v>2630</v>
      </c>
      <c r="F2122" s="1">
        <v>2250</v>
      </c>
      <c r="G2122" s="1">
        <v>348520</v>
      </c>
    </row>
    <row r="2123" spans="1:7" x14ac:dyDescent="0.25">
      <c r="A2123" s="1" t="s">
        <v>2338</v>
      </c>
      <c r="B2123" s="2" t="str">
        <f>HYPERLINK("https://www.elsevier.com/locate/issn/1755-2966", "Mental Health and Physical Activity")</f>
        <v>Mental Health and Physical Activity</v>
      </c>
      <c r="C2123" s="1" t="s">
        <v>10</v>
      </c>
      <c r="D2123" s="1">
        <v>3360</v>
      </c>
      <c r="E2123" s="1">
        <v>3140</v>
      </c>
      <c r="F2123" s="1">
        <v>2690</v>
      </c>
      <c r="G2123" s="1">
        <v>416740</v>
      </c>
    </row>
    <row r="2124" spans="1:7" x14ac:dyDescent="0.25">
      <c r="A2124" s="1" t="s">
        <v>2339</v>
      </c>
      <c r="B2124" s="2" t="str">
        <f>HYPERLINK("https://www.elsevier.com/locate/issn/2950-1628", "Meta-Radiology")</f>
        <v>Meta-Radiology</v>
      </c>
      <c r="C2124" s="1" t="s">
        <v>34</v>
      </c>
      <c r="D2124" s="1" t="s">
        <v>324</v>
      </c>
      <c r="E2124" s="1" t="s">
        <v>324</v>
      </c>
      <c r="F2124" s="1" t="s">
        <v>324</v>
      </c>
      <c r="G2124" s="1" t="s">
        <v>324</v>
      </c>
    </row>
    <row r="2125" spans="1:7" x14ac:dyDescent="0.25">
      <c r="A2125" s="1" t="s">
        <v>2340</v>
      </c>
      <c r="B2125" s="2" t="str">
        <f>HYPERLINK("https://www.elsevier.com/locate/issn/1096-7176", "Metabolic Engineering")</f>
        <v>Metabolic Engineering</v>
      </c>
      <c r="C2125" s="1" t="s">
        <v>10</v>
      </c>
      <c r="D2125" s="1">
        <v>4780</v>
      </c>
      <c r="E2125" s="1">
        <v>4470</v>
      </c>
      <c r="F2125" s="1">
        <v>3830</v>
      </c>
      <c r="G2125" s="1">
        <v>592860</v>
      </c>
    </row>
    <row r="2126" spans="1:7" x14ac:dyDescent="0.25">
      <c r="A2126" s="1" t="s">
        <v>2341</v>
      </c>
      <c r="B2126" s="2" t="str">
        <f>HYPERLINK("https://www.elsevier.com/locate/issn/2214-0301", "Metabolic Engineering Communications")</f>
        <v>Metabolic Engineering Communications</v>
      </c>
      <c r="C2126" s="1" t="s">
        <v>23</v>
      </c>
      <c r="D2126" s="1">
        <v>4040</v>
      </c>
      <c r="E2126" s="1">
        <v>3780</v>
      </c>
      <c r="F2126" s="1">
        <v>3230</v>
      </c>
      <c r="G2126" s="1">
        <v>501080</v>
      </c>
    </row>
    <row r="2127" spans="1:7" x14ac:dyDescent="0.25">
      <c r="A2127" s="1" t="s">
        <v>2342</v>
      </c>
      <c r="B2127" s="2" t="str">
        <f>HYPERLINK("https://www.elsevier.com/locate/issn/0026-0495", "Metabolism")</f>
        <v>Metabolism</v>
      </c>
      <c r="C2127" s="1" t="s">
        <v>10</v>
      </c>
      <c r="D2127" s="1">
        <v>5340</v>
      </c>
      <c r="E2127" s="1">
        <v>5000</v>
      </c>
      <c r="F2127" s="1">
        <v>4280</v>
      </c>
      <c r="G2127" s="1">
        <v>662320</v>
      </c>
    </row>
    <row r="2128" spans="1:7" x14ac:dyDescent="0.25">
      <c r="A2128" s="1" t="s">
        <v>2343</v>
      </c>
      <c r="B2128" s="2" t="str">
        <f>HYPERLINK("https://www.elsevier.com/locate/issn/2589-9368", "Metabolism Open")</f>
        <v>Metabolism Open</v>
      </c>
      <c r="C2128" s="1" t="s">
        <v>23</v>
      </c>
      <c r="D2128" s="1">
        <v>2120</v>
      </c>
      <c r="E2128" s="1">
        <v>1980</v>
      </c>
      <c r="F2128" s="1">
        <v>1700</v>
      </c>
      <c r="G2128" s="1">
        <v>262940</v>
      </c>
    </row>
    <row r="2129" spans="1:7" x14ac:dyDescent="0.25">
      <c r="A2129" s="1" t="s">
        <v>2344</v>
      </c>
      <c r="B2129" s="2" t="str">
        <f>HYPERLINK("https://www.elsevier.com/locate/issn/1046-2023", "Methods")</f>
        <v>Methods</v>
      </c>
      <c r="C2129" s="1" t="s">
        <v>10</v>
      </c>
      <c r="D2129" s="1">
        <v>3600</v>
      </c>
      <c r="E2129" s="1">
        <v>3370</v>
      </c>
      <c r="F2129" s="1">
        <v>2880</v>
      </c>
      <c r="G2129" s="1">
        <v>446510</v>
      </c>
    </row>
    <row r="2130" spans="1:7" x14ac:dyDescent="0.25">
      <c r="A2130" s="1" t="s">
        <v>2345</v>
      </c>
      <c r="B2130" s="2" t="str">
        <f>HYPERLINK("https://www.elsevier.com/locate/issn/2590-2601", "Methods in Psychology")</f>
        <v>Methods in Psychology</v>
      </c>
      <c r="C2130" s="1" t="s">
        <v>23</v>
      </c>
      <c r="D2130" s="1">
        <v>1840</v>
      </c>
      <c r="E2130" s="1">
        <v>1720</v>
      </c>
      <c r="F2130" s="1">
        <v>1470</v>
      </c>
      <c r="G2130" s="1">
        <v>228220</v>
      </c>
    </row>
    <row r="2131" spans="1:7" x14ac:dyDescent="0.25">
      <c r="A2131" s="1" t="s">
        <v>2346</v>
      </c>
      <c r="B2131" s="2" t="str">
        <f>HYPERLINK("https://www.elsevier.com/locate/issn/2215-0161", "MethodsX")</f>
        <v>MethodsX</v>
      </c>
      <c r="C2131" s="1" t="s">
        <v>23</v>
      </c>
      <c r="D2131" s="1">
        <v>1100</v>
      </c>
      <c r="E2131" s="1">
        <v>1030</v>
      </c>
      <c r="F2131" s="1">
        <v>880</v>
      </c>
      <c r="G2131" s="1">
        <v>136430</v>
      </c>
    </row>
    <row r="2132" spans="1:7" x14ac:dyDescent="0.25">
      <c r="A2132" s="1" t="s">
        <v>2347</v>
      </c>
      <c r="B2132" s="2" t="str">
        <f>HYPERLINK("https://www.elsevier.com/locate/issn/2590-0072", "Micro and Nano Engineering")</f>
        <v>Micro and Nano Engineering</v>
      </c>
      <c r="C2132" s="1" t="s">
        <v>23</v>
      </c>
      <c r="D2132" s="1">
        <v>2110</v>
      </c>
      <c r="E2132" s="1">
        <v>1970</v>
      </c>
      <c r="F2132" s="1">
        <v>1690</v>
      </c>
      <c r="G2132" s="1">
        <v>261700</v>
      </c>
    </row>
    <row r="2133" spans="1:7" x14ac:dyDescent="0.25">
      <c r="A2133" s="1" t="s">
        <v>2348</v>
      </c>
      <c r="B2133" s="2" t="str">
        <f>HYPERLINK("https://www.elsevier.com/locate/issn/2773-0123", "Micro and Nanostructures")</f>
        <v>Micro and Nanostructures</v>
      </c>
      <c r="C2133" s="1" t="s">
        <v>10</v>
      </c>
      <c r="D2133" s="1">
        <v>3070</v>
      </c>
      <c r="E2133" s="1">
        <v>2870</v>
      </c>
      <c r="F2133" s="1">
        <v>2460</v>
      </c>
      <c r="G2133" s="1">
        <v>380770</v>
      </c>
    </row>
    <row r="2134" spans="1:7" x14ac:dyDescent="0.25">
      <c r="A2134" s="1" t="s">
        <v>2349</v>
      </c>
      <c r="B2134" s="2" t="str">
        <f>HYPERLINK("https://www.elsevier.com/locate/issn/1286-4579", "Microbes and Infection")</f>
        <v>Microbes and Infection</v>
      </c>
      <c r="C2134" s="1" t="s">
        <v>10</v>
      </c>
      <c r="D2134" s="1">
        <v>3510</v>
      </c>
      <c r="E2134" s="1">
        <v>3280</v>
      </c>
      <c r="F2134" s="1">
        <v>2810</v>
      </c>
      <c r="G2134" s="1">
        <v>435350</v>
      </c>
    </row>
    <row r="2135" spans="1:7" x14ac:dyDescent="0.25">
      <c r="A2135" s="1" t="s">
        <v>2350</v>
      </c>
      <c r="B2135" s="2" t="str">
        <f>HYPERLINK("https://www.elsevier.com/locate/issn/0882-4010", "Microbial Pathogenesis")</f>
        <v>Microbial Pathogenesis</v>
      </c>
      <c r="C2135" s="1" t="s">
        <v>10</v>
      </c>
      <c r="D2135" s="1">
        <v>3140</v>
      </c>
      <c r="E2135" s="1">
        <v>2940</v>
      </c>
      <c r="F2135" s="1">
        <v>2510</v>
      </c>
      <c r="G2135" s="1">
        <v>389450</v>
      </c>
    </row>
    <row r="2136" spans="1:7" x14ac:dyDescent="0.25">
      <c r="A2136" s="1" t="s">
        <v>2351</v>
      </c>
      <c r="B2136" s="2" t="str">
        <f>HYPERLINK("https://www.elsevier.com/locate/issn/2352-3522", "Microbial Risk Analysis")</f>
        <v>Microbial Risk Analysis</v>
      </c>
      <c r="C2136" s="1" t="s">
        <v>10</v>
      </c>
      <c r="D2136" s="1">
        <v>3790</v>
      </c>
      <c r="E2136" s="1">
        <v>3550</v>
      </c>
      <c r="F2136" s="1">
        <v>3030</v>
      </c>
      <c r="G2136" s="1">
        <v>470070</v>
      </c>
    </row>
    <row r="2137" spans="1:7" x14ac:dyDescent="0.25">
      <c r="A2137" s="1" t="s">
        <v>2352</v>
      </c>
      <c r="B2137" s="2" t="str">
        <f>HYPERLINK("https://www.elsevier.com/locate/issn/0944-5013", "Microbiological Research")</f>
        <v>Microbiological Research</v>
      </c>
      <c r="C2137" s="1" t="s">
        <v>10</v>
      </c>
      <c r="D2137" s="1">
        <v>4470</v>
      </c>
      <c r="E2137" s="1">
        <v>4180</v>
      </c>
      <c r="F2137" s="1">
        <v>3580</v>
      </c>
      <c r="G2137" s="1">
        <v>554410</v>
      </c>
    </row>
    <row r="2138" spans="1:7" x14ac:dyDescent="0.25">
      <c r="A2138" s="1" t="s">
        <v>2353</v>
      </c>
      <c r="B2138" s="2" t="str">
        <f>HYPERLINK("https://www.elsevier.com/locate/issn/0026-265X", "Microchemical Journal")</f>
        <v>Microchemical Journal</v>
      </c>
      <c r="C2138" s="1" t="s">
        <v>10</v>
      </c>
      <c r="D2138" s="1">
        <v>4000</v>
      </c>
      <c r="E2138" s="1">
        <v>3740</v>
      </c>
      <c r="F2138" s="1">
        <v>3200</v>
      </c>
      <c r="G2138" s="1">
        <v>496120</v>
      </c>
    </row>
    <row r="2139" spans="1:7" x14ac:dyDescent="0.25">
      <c r="A2139" s="1" t="s">
        <v>2354</v>
      </c>
      <c r="B2139" s="2" t="str">
        <f>HYPERLINK("https://www.elsevier.com/locate/issn/0167-9317", "Microelectronic Engineering")</f>
        <v>Microelectronic Engineering</v>
      </c>
      <c r="C2139" s="1" t="s">
        <v>10</v>
      </c>
      <c r="D2139" s="1">
        <v>2950</v>
      </c>
      <c r="E2139" s="1">
        <v>2760</v>
      </c>
      <c r="F2139" s="1">
        <v>2360</v>
      </c>
      <c r="G2139" s="1">
        <v>365890</v>
      </c>
    </row>
    <row r="2140" spans="1:7" x14ac:dyDescent="0.25">
      <c r="A2140" s="1" t="s">
        <v>2355</v>
      </c>
      <c r="B2140" s="2" t="str">
        <f>HYPERLINK("https://www.elsevier.com/locate/issn/1879-2391", "Microelectronics Journal")</f>
        <v>Microelectronics Journal</v>
      </c>
      <c r="C2140" s="1" t="s">
        <v>10</v>
      </c>
      <c r="D2140" s="1">
        <v>2680</v>
      </c>
      <c r="E2140" s="1">
        <v>2510</v>
      </c>
      <c r="F2140" s="1">
        <v>2150</v>
      </c>
      <c r="G2140" s="1">
        <v>332400</v>
      </c>
    </row>
    <row r="2141" spans="1:7" x14ac:dyDescent="0.25">
      <c r="A2141" s="1" t="s">
        <v>2356</v>
      </c>
      <c r="B2141" s="2" t="str">
        <f>HYPERLINK("https://www.elsevier.com/locate/issn/0026-2714", "Microelectronics Reliability")</f>
        <v>Microelectronics Reliability</v>
      </c>
      <c r="C2141" s="1" t="s">
        <v>10</v>
      </c>
      <c r="D2141" s="1">
        <v>2610</v>
      </c>
      <c r="E2141" s="1">
        <v>2440</v>
      </c>
      <c r="F2141" s="1">
        <v>2090</v>
      </c>
      <c r="G2141" s="1">
        <v>323720</v>
      </c>
    </row>
    <row r="2142" spans="1:7" x14ac:dyDescent="0.25">
      <c r="A2142" s="1" t="s">
        <v>2357</v>
      </c>
      <c r="B2142" s="2" t="str">
        <f>HYPERLINK("https://www.elsevier.com/locate/issn/0968-4328", "Micron")</f>
        <v>Micron</v>
      </c>
      <c r="C2142" s="1" t="s">
        <v>10</v>
      </c>
      <c r="D2142" s="1">
        <v>3440</v>
      </c>
      <c r="E2142" s="1">
        <v>3220</v>
      </c>
      <c r="F2142" s="1">
        <v>2750</v>
      </c>
      <c r="G2142" s="1">
        <v>426660</v>
      </c>
    </row>
    <row r="2143" spans="1:7" x14ac:dyDescent="0.25">
      <c r="A2143" s="1" t="s">
        <v>2358</v>
      </c>
      <c r="B2143" s="2" t="str">
        <f>HYPERLINK("https://www.elsevier.com/locate/issn/1387-1811", "Microporous and Mesoporous Materials")</f>
        <v>Microporous and Mesoporous Materials</v>
      </c>
      <c r="C2143" s="1" t="s">
        <v>10</v>
      </c>
      <c r="D2143" s="1">
        <v>3970</v>
      </c>
      <c r="E2143" s="1">
        <v>3710</v>
      </c>
      <c r="F2143" s="1">
        <v>3180</v>
      </c>
      <c r="G2143" s="1">
        <v>492400</v>
      </c>
    </row>
    <row r="2144" spans="1:7" x14ac:dyDescent="0.25">
      <c r="A2144" s="1" t="s">
        <v>2359</v>
      </c>
      <c r="B2144" s="2" t="str">
        <f>HYPERLINK("https://www.elsevier.com/locate/issn/0141-9331", "Microprocessors and Microsystems")</f>
        <v>Microprocessors and Microsystems</v>
      </c>
      <c r="C2144" s="1" t="s">
        <v>10</v>
      </c>
      <c r="D2144" s="1">
        <v>2570</v>
      </c>
      <c r="E2144" s="1">
        <v>2400</v>
      </c>
      <c r="F2144" s="1">
        <v>2060</v>
      </c>
      <c r="G2144" s="1">
        <v>318760</v>
      </c>
    </row>
    <row r="2145" spans="1:7" x14ac:dyDescent="0.25">
      <c r="A2145" s="1" t="s">
        <v>2360</v>
      </c>
      <c r="B2145" s="2" t="str">
        <f>HYPERLINK("https://www.elsevier.com/locate/issn/0026-2862", "Microvascular Research")</f>
        <v>Microvascular Research</v>
      </c>
      <c r="C2145" s="1" t="s">
        <v>10</v>
      </c>
      <c r="D2145" s="1">
        <v>3340</v>
      </c>
      <c r="E2145" s="1">
        <v>3120</v>
      </c>
      <c r="F2145" s="1">
        <v>2670</v>
      </c>
      <c r="G2145" s="1">
        <v>414260</v>
      </c>
    </row>
    <row r="2146" spans="1:7" x14ac:dyDescent="0.25">
      <c r="A2146" s="1" t="s">
        <v>2361</v>
      </c>
      <c r="B2146" s="2" t="str">
        <f>HYPERLINK("https://www.elsevier.com/locate/issn/0266-6138", "Midwifery")</f>
        <v>Midwifery</v>
      </c>
      <c r="C2146" s="1" t="s">
        <v>10</v>
      </c>
      <c r="D2146" s="1">
        <v>3630</v>
      </c>
      <c r="E2146" s="1">
        <v>3400</v>
      </c>
      <c r="F2146" s="1">
        <v>2910</v>
      </c>
      <c r="G2146" s="1">
        <v>450230</v>
      </c>
    </row>
    <row r="2147" spans="1:7" x14ac:dyDescent="0.25">
      <c r="A2147" s="1" t="s">
        <v>2362</v>
      </c>
      <c r="B2147" s="2" t="str">
        <f>HYPERLINK("https://www.elsevier.com/locate/issn/0892-6875", "Minerals Engineering")</f>
        <v>Minerals Engineering</v>
      </c>
      <c r="C2147" s="1" t="s">
        <v>10</v>
      </c>
      <c r="D2147" s="1">
        <v>4220</v>
      </c>
      <c r="E2147" s="1">
        <v>3950</v>
      </c>
      <c r="F2147" s="1">
        <v>3380</v>
      </c>
      <c r="G2147" s="1">
        <v>523410</v>
      </c>
    </row>
    <row r="2148" spans="1:7" x14ac:dyDescent="0.25">
      <c r="A2148" s="1" t="s">
        <v>2363</v>
      </c>
      <c r="B2148" s="2" t="str">
        <f>HYPERLINK("https://www.elsevier.com/locate/issn/2590-2792", "Mitochondrial Communications")</f>
        <v>Mitochondrial Communications</v>
      </c>
      <c r="C2148" s="1" t="s">
        <v>34</v>
      </c>
      <c r="D2148" s="1">
        <v>700</v>
      </c>
      <c r="E2148" s="1">
        <v>650</v>
      </c>
      <c r="F2148" s="1">
        <v>560</v>
      </c>
      <c r="G2148" s="1">
        <v>86820</v>
      </c>
    </row>
    <row r="2149" spans="1:7" x14ac:dyDescent="0.25">
      <c r="A2149" s="1" t="s">
        <v>2364</v>
      </c>
      <c r="B2149" s="2" t="str">
        <f>HYPERLINK("https://www.elsevier.com/locate/issn/1567-7249", "Mitochondrion")</f>
        <v>Mitochondrion</v>
      </c>
      <c r="C2149" s="1" t="s">
        <v>10</v>
      </c>
      <c r="D2149" s="1">
        <v>3220</v>
      </c>
      <c r="E2149" s="1">
        <v>3010</v>
      </c>
      <c r="F2149" s="1">
        <v>2580</v>
      </c>
      <c r="G2149" s="1">
        <v>399380</v>
      </c>
    </row>
    <row r="2150" spans="1:7" x14ac:dyDescent="0.25">
      <c r="A2150" s="1" t="s">
        <v>2365</v>
      </c>
      <c r="B2150" s="2" t="str">
        <f>HYPERLINK("https://www.elsevier.com/locate/issn/0893-3952", "Modern Pathology")</f>
        <v>Modern Pathology</v>
      </c>
      <c r="C2150" s="1" t="s">
        <v>10</v>
      </c>
      <c r="D2150" s="1">
        <v>4480</v>
      </c>
      <c r="E2150" s="1">
        <v>4190</v>
      </c>
      <c r="F2150" s="1">
        <v>3590</v>
      </c>
      <c r="G2150" s="1">
        <v>555650</v>
      </c>
    </row>
    <row r="2151" spans="1:7" x14ac:dyDescent="0.25">
      <c r="A2151" s="1" t="s">
        <v>2366</v>
      </c>
      <c r="B2151" s="2" t="str">
        <f>HYPERLINK("https://www.elsevier.com/locate/issn/1535-9476", "Molecular &amp; Cellular Proteomics")</f>
        <v>Molecular &amp; Cellular Proteomics</v>
      </c>
      <c r="C2151" s="1" t="s">
        <v>23</v>
      </c>
      <c r="D2151" s="1">
        <v>3860</v>
      </c>
      <c r="E2151" s="1">
        <v>3610</v>
      </c>
      <c r="F2151" s="1">
        <v>3090</v>
      </c>
      <c r="G2151" s="1">
        <v>478760</v>
      </c>
    </row>
    <row r="2152" spans="1:7" x14ac:dyDescent="0.25">
      <c r="A2152" s="1" t="s">
        <v>2367</v>
      </c>
      <c r="B2152" s="2" t="str">
        <f>HYPERLINK("https://www.elsevier.com/locate/issn/0166-6851", "Molecular and Biochemical Parasitology")</f>
        <v>Molecular and Biochemical Parasitology</v>
      </c>
      <c r="C2152" s="1" t="s">
        <v>10</v>
      </c>
      <c r="D2152" s="1">
        <v>3460</v>
      </c>
      <c r="E2152" s="1">
        <v>3240</v>
      </c>
      <c r="F2152" s="1">
        <v>2770</v>
      </c>
      <c r="G2152" s="1">
        <v>429140</v>
      </c>
    </row>
    <row r="2153" spans="1:7" x14ac:dyDescent="0.25">
      <c r="A2153" s="1" t="s">
        <v>2368</v>
      </c>
      <c r="B2153" s="2" t="str">
        <f>HYPERLINK("https://www.elsevier.com/locate/issn/0303-7207", "Molecular and Cellular Endocrinology")</f>
        <v>Molecular and Cellular Endocrinology</v>
      </c>
      <c r="C2153" s="1" t="s">
        <v>10</v>
      </c>
      <c r="D2153" s="1">
        <v>3510</v>
      </c>
      <c r="E2153" s="1">
        <v>3280</v>
      </c>
      <c r="F2153" s="1">
        <v>2810</v>
      </c>
      <c r="G2153" s="1">
        <v>435350</v>
      </c>
    </row>
    <row r="2154" spans="1:7" x14ac:dyDescent="0.25">
      <c r="A2154" s="1" t="s">
        <v>2369</v>
      </c>
      <c r="B2154" s="2" t="str">
        <f>HYPERLINK("https://www.elsevier.com/locate/issn/1044-7431", "Molecular and Cellular Neuroscience")</f>
        <v>Molecular and Cellular Neuroscience</v>
      </c>
      <c r="C2154" s="1" t="s">
        <v>10</v>
      </c>
      <c r="D2154" s="1">
        <v>3450</v>
      </c>
      <c r="E2154" s="1">
        <v>3230</v>
      </c>
      <c r="F2154" s="1">
        <v>2760</v>
      </c>
      <c r="G2154" s="1">
        <v>427900</v>
      </c>
    </row>
    <row r="2155" spans="1:7" x14ac:dyDescent="0.25">
      <c r="A2155" s="1" t="s">
        <v>2370</v>
      </c>
      <c r="B2155" s="2" t="str">
        <f>HYPERLINK("https://www.elsevier.com/locate/issn/0890-8508", "Molecular and Cellular Probes")</f>
        <v>Molecular and Cellular Probes</v>
      </c>
      <c r="C2155" s="1" t="s">
        <v>23</v>
      </c>
      <c r="D2155" s="1">
        <v>2790</v>
      </c>
      <c r="E2155" s="1">
        <v>2610</v>
      </c>
      <c r="F2155" s="1">
        <v>2230</v>
      </c>
      <c r="G2155" s="1">
        <v>346040</v>
      </c>
    </row>
    <row r="2156" spans="1:7" x14ac:dyDescent="0.25">
      <c r="A2156" s="1" t="s">
        <v>2371</v>
      </c>
      <c r="B2156" s="2" t="str">
        <f>HYPERLINK("https://www.elsevier.com/locate/issn/0098-2997", "Molecular Aspects of Medicine")</f>
        <v>Molecular Aspects of Medicine</v>
      </c>
      <c r="C2156" s="1" t="s">
        <v>10</v>
      </c>
      <c r="D2156" s="1">
        <v>5220</v>
      </c>
      <c r="E2156" s="1">
        <v>4880</v>
      </c>
      <c r="F2156" s="1">
        <v>4180</v>
      </c>
      <c r="G2156" s="1">
        <v>647440</v>
      </c>
    </row>
    <row r="2157" spans="1:7" x14ac:dyDescent="0.25">
      <c r="A2157" s="1" t="s">
        <v>2372</v>
      </c>
      <c r="B2157" s="2" t="str">
        <f>HYPERLINK("https://www.elsevier.com/locate/issn/2468-8231", "Molecular Catalysis")</f>
        <v>Molecular Catalysis</v>
      </c>
      <c r="C2157" s="1" t="s">
        <v>10</v>
      </c>
      <c r="D2157" s="1">
        <v>3110</v>
      </c>
      <c r="E2157" s="1">
        <v>3280</v>
      </c>
      <c r="F2157" s="1">
        <v>2810</v>
      </c>
      <c r="G2157" s="1">
        <v>435350</v>
      </c>
    </row>
    <row r="2158" spans="1:7" x14ac:dyDescent="0.25">
      <c r="A2158" s="1" t="s">
        <v>2373</v>
      </c>
      <c r="B2158" s="2" t="str">
        <f>HYPERLINK("https://www.elsevier.com/locate/issn/1097-2765", "Molecular Cell")</f>
        <v>Molecular Cell</v>
      </c>
      <c r="C2158" s="1" t="s">
        <v>10</v>
      </c>
      <c r="D2158" s="1">
        <v>10400</v>
      </c>
      <c r="E2158" s="1">
        <v>9640</v>
      </c>
      <c r="F2158" s="1">
        <v>8330</v>
      </c>
      <c r="G2158" s="1">
        <v>1289910</v>
      </c>
    </row>
    <row r="2159" spans="1:7" x14ac:dyDescent="0.25">
      <c r="A2159" s="1" t="s">
        <v>2374</v>
      </c>
      <c r="B2159" s="2" t="str">
        <f>HYPERLINK("https://www.elsevier.com/locate/issn/3050-7960", "Molecular Chemistry &amp; Engineering")</f>
        <v>Molecular Chemistry &amp; Engineering</v>
      </c>
      <c r="C2159" s="1" t="s">
        <v>23</v>
      </c>
      <c r="D2159" s="1">
        <v>1600</v>
      </c>
      <c r="E2159" s="1">
        <v>1460</v>
      </c>
      <c r="F2159" s="1">
        <v>1280</v>
      </c>
      <c r="G2159" s="1">
        <v>198450</v>
      </c>
    </row>
    <row r="2160" spans="1:7" x14ac:dyDescent="0.25">
      <c r="A2160" s="1" t="s">
        <v>2375</v>
      </c>
      <c r="B2160" s="2" t="str">
        <f>HYPERLINK("https://www.elsevier.com/locate/issn/1096-7192", "Molecular Genetics and Metabolism")</f>
        <v>Molecular Genetics and Metabolism</v>
      </c>
      <c r="C2160" s="1" t="s">
        <v>10</v>
      </c>
      <c r="D2160" s="1">
        <v>3680</v>
      </c>
      <c r="E2160" s="1">
        <v>3440</v>
      </c>
      <c r="F2160" s="1">
        <v>2950</v>
      </c>
      <c r="G2160" s="1">
        <v>456430</v>
      </c>
    </row>
    <row r="2161" spans="1:7" x14ac:dyDescent="0.25">
      <c r="A2161" s="1" t="s">
        <v>2376</v>
      </c>
      <c r="B2161" s="2" t="str">
        <f>HYPERLINK("https://www.elsevier.com/locate/issn/2214-4269", "Molecular Genetics and Metabolism Reports")</f>
        <v>Molecular Genetics and Metabolism Reports</v>
      </c>
      <c r="C2161" s="1" t="s">
        <v>23</v>
      </c>
      <c r="D2161" s="1">
        <v>2400</v>
      </c>
      <c r="E2161" s="1">
        <v>2250</v>
      </c>
      <c r="F2161" s="1">
        <v>1920</v>
      </c>
      <c r="G2161" s="1">
        <v>297670</v>
      </c>
    </row>
    <row r="2162" spans="1:7" x14ac:dyDescent="0.25">
      <c r="A2162" s="1" t="s">
        <v>2377</v>
      </c>
      <c r="B2162" s="2" t="str">
        <f>HYPERLINK("https://www.elsevier.com/locate/issn/0161-5890", "Molecular Immunology")</f>
        <v>Molecular Immunology</v>
      </c>
      <c r="C2162" s="1" t="s">
        <v>10</v>
      </c>
      <c r="D2162" s="1">
        <v>3340</v>
      </c>
      <c r="E2162" s="1">
        <v>3120</v>
      </c>
      <c r="F2162" s="1">
        <v>2670</v>
      </c>
      <c r="G2162" s="1">
        <v>414260</v>
      </c>
    </row>
    <row r="2163" spans="1:7" x14ac:dyDescent="0.25">
      <c r="A2163" s="1" t="s">
        <v>2378</v>
      </c>
      <c r="B2163" s="2" t="str">
        <f>HYPERLINK("https://www.elsevier.com/locate/issn/2212-8778", "Molecular Metabolism")</f>
        <v>Molecular Metabolism</v>
      </c>
      <c r="C2163" s="1" t="s">
        <v>23</v>
      </c>
      <c r="D2163" s="1">
        <v>4270</v>
      </c>
      <c r="E2163" s="1">
        <v>3990</v>
      </c>
      <c r="F2163" s="1">
        <v>3420</v>
      </c>
      <c r="G2163" s="1">
        <v>529610</v>
      </c>
    </row>
    <row r="2164" spans="1:7" x14ac:dyDescent="0.25">
      <c r="A2164" s="1" t="s">
        <v>2379</v>
      </c>
      <c r="B2164" s="2" t="str">
        <f>HYPERLINK("https://www.elsevier.com/locate/issn/0026-895X", "Molecular Pharmacology")</f>
        <v>Molecular Pharmacology</v>
      </c>
      <c r="C2164" s="1" t="s">
        <v>10</v>
      </c>
      <c r="D2164" s="1">
        <v>3600</v>
      </c>
      <c r="E2164" s="1">
        <v>3370</v>
      </c>
      <c r="F2164" s="1">
        <v>2880</v>
      </c>
      <c r="G2164" s="1">
        <v>446510</v>
      </c>
    </row>
    <row r="2165" spans="1:7" x14ac:dyDescent="0.25">
      <c r="A2165" s="1" t="s">
        <v>2380</v>
      </c>
      <c r="B2165" s="2" t="str">
        <f>HYPERLINK("https://www.elsevier.com/locate/issn/1055-7903", "Molecular Phylogenetics and Evolution")</f>
        <v>Molecular Phylogenetics and Evolution</v>
      </c>
      <c r="C2165" s="1" t="s">
        <v>10</v>
      </c>
      <c r="D2165" s="1">
        <v>3830</v>
      </c>
      <c r="E2165" s="1">
        <v>3580</v>
      </c>
      <c r="F2165" s="1">
        <v>3070</v>
      </c>
      <c r="G2165" s="1">
        <v>475030</v>
      </c>
    </row>
    <row r="2166" spans="1:7" x14ac:dyDescent="0.25">
      <c r="A2166" s="1" t="s">
        <v>2381</v>
      </c>
      <c r="B2166" s="2" t="str">
        <f>HYPERLINK("https://www.elsevier.com/locate/issn/1674-2052", "Molecular Plant")</f>
        <v>Molecular Plant</v>
      </c>
      <c r="C2166" s="1" t="s">
        <v>10</v>
      </c>
      <c r="D2166" s="1">
        <v>5000</v>
      </c>
      <c r="E2166" s="1">
        <v>4630</v>
      </c>
      <c r="F2166" s="1">
        <v>4000</v>
      </c>
      <c r="G2166" s="1">
        <v>620150</v>
      </c>
    </row>
    <row r="2167" spans="1:7" x14ac:dyDescent="0.25">
      <c r="A2167" s="1" t="s">
        <v>2382</v>
      </c>
      <c r="B2167" s="2" t="str">
        <f>HYPERLINK("https://www.elsevier.com/locate/issn/1525-0016", "Molecular Therapy")</f>
        <v>Molecular Therapy</v>
      </c>
      <c r="C2167" s="1" t="s">
        <v>10</v>
      </c>
      <c r="D2167" s="1">
        <v>4500</v>
      </c>
      <c r="E2167" s="1">
        <v>4170</v>
      </c>
      <c r="F2167" s="1">
        <v>3600</v>
      </c>
      <c r="G2167" s="1">
        <v>558140</v>
      </c>
    </row>
    <row r="2168" spans="1:7" x14ac:dyDescent="0.25">
      <c r="A2168" s="1" t="s">
        <v>2383</v>
      </c>
      <c r="B2168" s="2" t="str">
        <f>HYPERLINK("https://www.elsevier.com/locate/issn/2329-0501", "Molecular Therapy - Methods &amp; Clinical Development")</f>
        <v>Molecular Therapy - Methods &amp; Clinical Development</v>
      </c>
      <c r="C2168" s="1" t="s">
        <v>23</v>
      </c>
      <c r="D2168" s="1">
        <v>3900</v>
      </c>
      <c r="E2168" s="1">
        <v>3610</v>
      </c>
      <c r="F2168" s="1">
        <v>3120</v>
      </c>
      <c r="G2168" s="1">
        <v>483720</v>
      </c>
    </row>
    <row r="2169" spans="1:7" x14ac:dyDescent="0.25">
      <c r="A2169" s="1" t="s">
        <v>2384</v>
      </c>
      <c r="B2169" s="2" t="str">
        <f>HYPERLINK("https://www.elsevier.com/locate/issn/2162-2531", "Molecular Therapy - Nucleic Acids")</f>
        <v>Molecular Therapy - Nucleic Acids</v>
      </c>
      <c r="C2169" s="1" t="s">
        <v>23</v>
      </c>
      <c r="D2169" s="1">
        <v>3900</v>
      </c>
      <c r="E2169" s="1">
        <v>3610</v>
      </c>
      <c r="F2169" s="1">
        <v>3120</v>
      </c>
      <c r="G2169" s="1">
        <v>483720</v>
      </c>
    </row>
    <row r="2170" spans="1:7" x14ac:dyDescent="0.25">
      <c r="A2170" s="1" t="s">
        <v>2385</v>
      </c>
      <c r="B2170" s="2" t="str">
        <f>HYPERLINK("https://www.elsevier.com/locate/issn/2950-3299", "Molecular Therapy: Oncology")</f>
        <v>Molecular Therapy: Oncology</v>
      </c>
      <c r="C2170" s="1" t="s">
        <v>23</v>
      </c>
      <c r="D2170" s="1">
        <v>3900</v>
      </c>
      <c r="E2170" s="1">
        <v>3610</v>
      </c>
      <c r="F2170" s="1">
        <v>3120</v>
      </c>
      <c r="G2170" s="1">
        <v>483720</v>
      </c>
    </row>
    <row r="2171" spans="1:7" x14ac:dyDescent="0.25">
      <c r="A2171" s="1" t="s">
        <v>2386</v>
      </c>
      <c r="B2171" s="2" t="str">
        <f>HYPERLINK("https://www.elsevier.com/locate/issn/1016-8478", "Molecules and Cells")</f>
        <v>Molecules and Cells</v>
      </c>
      <c r="C2171" s="1" t="s">
        <v>23</v>
      </c>
      <c r="D2171" s="1">
        <v>2500</v>
      </c>
      <c r="E2171" s="1">
        <v>2340</v>
      </c>
      <c r="F2171" s="1">
        <v>2000</v>
      </c>
      <c r="G2171" s="1">
        <v>310080</v>
      </c>
    </row>
    <row r="2172" spans="1:7" x14ac:dyDescent="0.25">
      <c r="A2172" s="1" t="s">
        <v>2387</v>
      </c>
      <c r="B2172" s="2" t="str">
        <f>HYPERLINK("https://www.elsevier.com/locate/issn/1286-0115", "Morphologie")</f>
        <v>Morphologie</v>
      </c>
      <c r="C2172" s="1" t="s">
        <v>10</v>
      </c>
      <c r="D2172" s="1">
        <v>3120</v>
      </c>
      <c r="E2172" s="1">
        <v>2850</v>
      </c>
      <c r="F2172" s="1">
        <v>2500</v>
      </c>
      <c r="G2172" s="1">
        <v>386970</v>
      </c>
    </row>
    <row r="2173" spans="1:7" x14ac:dyDescent="0.25">
      <c r="A2173" s="1" t="s">
        <v>2388</v>
      </c>
      <c r="B2173" s="2" t="str">
        <f>HYPERLINK("https://www.elsevier.com/locate/issn/0245-5919", "Motricité Cérébrale")</f>
        <v>Motricité Cérébrale</v>
      </c>
      <c r="C2173" s="1" t="s">
        <v>10</v>
      </c>
      <c r="D2173" s="1">
        <v>2430</v>
      </c>
      <c r="E2173" s="1">
        <v>2220</v>
      </c>
      <c r="F2173" s="1">
        <v>1950</v>
      </c>
      <c r="G2173" s="1">
        <v>301390</v>
      </c>
    </row>
    <row r="2174" spans="1:7" x14ac:dyDescent="0.25">
      <c r="A2174" s="1" t="s">
        <v>2389</v>
      </c>
      <c r="B2174" s="2" t="str">
        <f>HYPERLINK("https://www.elsevier.com/locate/issn/1933-0219", "Mucosal Immunology")</f>
        <v>Mucosal Immunology</v>
      </c>
      <c r="C2174" s="1" t="s">
        <v>23</v>
      </c>
      <c r="D2174" s="1">
        <v>4370</v>
      </c>
      <c r="E2174" s="1">
        <v>4090</v>
      </c>
      <c r="F2174" s="1">
        <v>3500</v>
      </c>
      <c r="G2174" s="1">
        <v>542010</v>
      </c>
    </row>
    <row r="2175" spans="1:7" x14ac:dyDescent="0.25">
      <c r="A2175" s="1" t="s">
        <v>2390</v>
      </c>
      <c r="B2175" s="2" t="str">
        <f>HYPERLINK("https://www.elsevier.com/locate/issn/2772-5863", "Multimodal Transportation")</f>
        <v>Multimodal Transportation</v>
      </c>
      <c r="C2175" s="1" t="s">
        <v>23</v>
      </c>
      <c r="D2175" s="1">
        <v>1800</v>
      </c>
      <c r="E2175" s="1">
        <v>1680</v>
      </c>
      <c r="F2175" s="1">
        <v>1440</v>
      </c>
      <c r="G2175" s="1">
        <v>223250</v>
      </c>
    </row>
    <row r="2176" spans="1:7" x14ac:dyDescent="0.25">
      <c r="A2176" s="1" t="s">
        <v>2391</v>
      </c>
      <c r="B2176" s="2" t="str">
        <f>HYPERLINK("https://www.elsevier.com/locate/issn/2211-0348", "Multiple Sclerosis and Related Disorders")</f>
        <v>Multiple Sclerosis and Related Disorders</v>
      </c>
      <c r="C2176" s="1" t="s">
        <v>10</v>
      </c>
      <c r="D2176" s="1">
        <v>3500</v>
      </c>
      <c r="E2176" s="1">
        <v>3270</v>
      </c>
      <c r="F2176" s="1">
        <v>2800</v>
      </c>
      <c r="G2176" s="1">
        <v>434110</v>
      </c>
    </row>
    <row r="2177" spans="1:7" x14ac:dyDescent="0.25">
      <c r="A2177" s="1" t="s">
        <v>2392</v>
      </c>
      <c r="B2177" s="2" t="str">
        <f>HYPERLINK("https://www.elsevier.com/locate/issn/2468-7812", "Musculoskeletal Science and Practice")</f>
        <v>Musculoskeletal Science and Practice</v>
      </c>
      <c r="C2177" s="1" t="s">
        <v>10</v>
      </c>
      <c r="D2177" s="1">
        <v>3500</v>
      </c>
      <c r="E2177" s="1">
        <v>3270</v>
      </c>
      <c r="F2177" s="1">
        <v>2800</v>
      </c>
      <c r="G2177" s="1">
        <v>434110</v>
      </c>
    </row>
    <row r="2178" spans="1:7" ht="30" x14ac:dyDescent="0.25">
      <c r="A2178" s="1" t="s">
        <v>2393</v>
      </c>
      <c r="B2178" s="2" t="str">
        <f>HYPERLINK("https://www.elsevier.com/locate/issn/0027-5107", "Mutation Research/Fundamental and Molecular Mechanisms of Mutagenesis")</f>
        <v>Mutation Research/Fundamental and Molecular Mechanisms of Mutagenesis</v>
      </c>
      <c r="C2178" s="1" t="s">
        <v>10</v>
      </c>
      <c r="D2178" s="1">
        <v>3380</v>
      </c>
      <c r="E2178" s="1">
        <v>3160</v>
      </c>
      <c r="F2178" s="1">
        <v>2710</v>
      </c>
      <c r="G2178" s="1">
        <v>419220</v>
      </c>
    </row>
    <row r="2179" spans="1:7" x14ac:dyDescent="0.25">
      <c r="A2179" s="1" t="s">
        <v>2394</v>
      </c>
      <c r="B2179" s="2" t="str">
        <f>HYPERLINK("https://www.elsevier.com/locate/issn/1383-5718", "Mutation Research/Genetic Toxicology and Environmental Mutagenesis")</f>
        <v>Mutation Research/Genetic Toxicology and Environmental Mutagenesis</v>
      </c>
      <c r="C2179" s="1" t="s">
        <v>10</v>
      </c>
      <c r="D2179" s="1">
        <v>3350</v>
      </c>
      <c r="E2179" s="1">
        <v>3130</v>
      </c>
      <c r="F2179" s="1">
        <v>2680</v>
      </c>
      <c r="G2179" s="1">
        <v>415500</v>
      </c>
    </row>
    <row r="2180" spans="1:7" x14ac:dyDescent="0.25">
      <c r="A2180" s="1" t="s">
        <v>2395</v>
      </c>
      <c r="B2180" s="2" t="str">
        <f>HYPERLINK("https://www.elsevier.com/locate/issn/1383-5742", "Mutation Research/Reviews in Mutation Research")</f>
        <v>Mutation Research/Reviews in Mutation Research</v>
      </c>
      <c r="C2180" s="1" t="s">
        <v>10</v>
      </c>
      <c r="D2180" s="1">
        <v>4160</v>
      </c>
      <c r="E2180" s="1">
        <v>3890</v>
      </c>
      <c r="F2180" s="1">
        <v>3330</v>
      </c>
      <c r="G2180" s="1">
        <v>515960</v>
      </c>
    </row>
    <row r="2181" spans="1:7" x14ac:dyDescent="0.25">
      <c r="A2181" s="1" t="s">
        <v>2396</v>
      </c>
      <c r="B2181" s="2" t="str">
        <f>HYPERLINK("https://www.elsevier.com/locate/issn/1246-7391", "Médecine &amp; Droit")</f>
        <v>Médecine &amp; Droit</v>
      </c>
      <c r="C2181" s="1" t="s">
        <v>10</v>
      </c>
      <c r="D2181" s="1">
        <v>2460</v>
      </c>
      <c r="E2181" s="1">
        <v>2240</v>
      </c>
      <c r="F2181" s="1">
        <v>1970</v>
      </c>
      <c r="G2181" s="1">
        <v>305110</v>
      </c>
    </row>
    <row r="2182" spans="1:7" x14ac:dyDescent="0.25">
      <c r="A2182" s="1" t="s">
        <v>2397</v>
      </c>
      <c r="B2182" s="2" t="str">
        <f>HYPERLINK("https://www.elsevier.com/locate/issn/1279-8479", "Médecine de Catastrophe - Urgences Collectives")</f>
        <v>Médecine de Catastrophe - Urgences Collectives</v>
      </c>
      <c r="C2182" s="1" t="s">
        <v>10</v>
      </c>
      <c r="D2182" s="1">
        <v>1500</v>
      </c>
      <c r="E2182" s="1">
        <v>1400</v>
      </c>
      <c r="F2182" s="1">
        <v>1200</v>
      </c>
      <c r="G2182" s="1">
        <v>186050</v>
      </c>
    </row>
    <row r="2183" spans="1:7" x14ac:dyDescent="0.25">
      <c r="A2183" s="1" t="s">
        <v>2398</v>
      </c>
      <c r="B2183" s="2" t="str">
        <f>HYPERLINK("https://www.elsevier.com/locate/issn/1957-2557", "Médecine des Maladies Métaboliques")</f>
        <v>Médecine des Maladies Métaboliques</v>
      </c>
      <c r="C2183" s="1" t="s">
        <v>10</v>
      </c>
      <c r="D2183" s="1">
        <v>2380</v>
      </c>
      <c r="E2183" s="1">
        <v>2230</v>
      </c>
      <c r="F2183" s="1">
        <v>1910</v>
      </c>
      <c r="G2183" s="1">
        <v>295190</v>
      </c>
    </row>
    <row r="2184" spans="1:7" x14ac:dyDescent="0.25">
      <c r="A2184" s="1" t="s">
        <v>2399</v>
      </c>
      <c r="B2184" s="2" t="str">
        <f>HYPERLINK("https://www.elsevier.com/locate/issn/1769-4493", "Médecine du Sommeil")</f>
        <v>Médecine du Sommeil</v>
      </c>
      <c r="C2184" s="1" t="s">
        <v>10</v>
      </c>
      <c r="D2184" s="1">
        <v>2190</v>
      </c>
      <c r="E2184" s="1">
        <v>2000</v>
      </c>
      <c r="F2184" s="1">
        <v>1750</v>
      </c>
      <c r="G2184" s="1">
        <v>271630</v>
      </c>
    </row>
    <row r="2185" spans="1:7" x14ac:dyDescent="0.25">
      <c r="A2185" s="1" t="s">
        <v>2400</v>
      </c>
      <c r="B2185" s="2" t="str">
        <f>HYPERLINK("https://www.elsevier.com/locate/issn/0928-1258", "Médecine Nucléaire")</f>
        <v>Médecine Nucléaire</v>
      </c>
      <c r="C2185" s="1" t="s">
        <v>10</v>
      </c>
      <c r="D2185" s="1">
        <v>2100</v>
      </c>
      <c r="E2185" s="1">
        <v>1960</v>
      </c>
      <c r="F2185" s="1">
        <v>1680</v>
      </c>
      <c r="G2185" s="1">
        <v>260460</v>
      </c>
    </row>
    <row r="2186" spans="1:7" x14ac:dyDescent="0.25">
      <c r="A2186" s="1" t="s">
        <v>2401</v>
      </c>
      <c r="B2186" s="2" t="str">
        <f>HYPERLINK("https://www.elsevier.com/locate/issn/1636-6522", "Médecine Palliative")</f>
        <v>Médecine Palliative</v>
      </c>
      <c r="C2186" s="1" t="s">
        <v>10</v>
      </c>
      <c r="D2186" s="1">
        <v>2770</v>
      </c>
      <c r="E2186" s="1">
        <v>2530</v>
      </c>
      <c r="F2186" s="1">
        <v>2220</v>
      </c>
      <c r="G2186" s="1">
        <v>343560</v>
      </c>
    </row>
    <row r="2187" spans="1:7" x14ac:dyDescent="0.25">
      <c r="A2187" s="1" t="s">
        <v>2402</v>
      </c>
      <c r="B2187" s="2" t="str">
        <f>HYPERLINK("https://www.elsevier.com/locate/issn/3050-6204", "NAM Journal")</f>
        <v>NAM Journal</v>
      </c>
      <c r="C2187" s="1" t="s">
        <v>23</v>
      </c>
      <c r="D2187" s="1">
        <v>3000</v>
      </c>
      <c r="E2187" s="1">
        <v>2810</v>
      </c>
      <c r="F2187" s="1">
        <v>2400</v>
      </c>
      <c r="G2187" s="1">
        <v>372090</v>
      </c>
    </row>
    <row r="2188" spans="1:7" x14ac:dyDescent="0.25">
      <c r="A2188" s="1" t="s">
        <v>2403</v>
      </c>
      <c r="B2188" s="2" t="str">
        <f>HYPERLINK("https://www.elsevier.com/locate/issn/1878-7789", "Nano Communication Networks")</f>
        <v>Nano Communication Networks</v>
      </c>
      <c r="C2188" s="1" t="s">
        <v>10</v>
      </c>
      <c r="D2188" s="1">
        <v>2420</v>
      </c>
      <c r="E2188" s="1">
        <v>2260</v>
      </c>
      <c r="F2188" s="1">
        <v>1940</v>
      </c>
      <c r="G2188" s="1">
        <v>300150</v>
      </c>
    </row>
    <row r="2189" spans="1:7" x14ac:dyDescent="0.25">
      <c r="A2189" s="1" t="s">
        <v>2404</v>
      </c>
      <c r="B2189" s="2" t="str">
        <f>HYPERLINK("https://www.elsevier.com/locate/issn/2211-2855", "Nano Energy")</f>
        <v>Nano Energy</v>
      </c>
      <c r="C2189" s="1" t="s">
        <v>10</v>
      </c>
      <c r="D2189" s="1">
        <v>5210</v>
      </c>
      <c r="E2189" s="1">
        <v>4870</v>
      </c>
      <c r="F2189" s="1">
        <v>4170</v>
      </c>
      <c r="G2189" s="1">
        <v>646200</v>
      </c>
    </row>
    <row r="2190" spans="1:7" x14ac:dyDescent="0.25">
      <c r="A2190" s="1" t="s">
        <v>2405</v>
      </c>
      <c r="B2190" s="2" t="str">
        <f>HYPERLINK("https://www.elsevier.com/locate/issn/2589-9651", "Nano Materials Science")</f>
        <v>Nano Materials Science</v>
      </c>
      <c r="C2190" s="1" t="s">
        <v>34</v>
      </c>
      <c r="D2190" s="1" t="s">
        <v>324</v>
      </c>
      <c r="E2190" s="1" t="s">
        <v>324</v>
      </c>
      <c r="F2190" s="1" t="s">
        <v>324</v>
      </c>
      <c r="G2190" s="1" t="s">
        <v>324</v>
      </c>
    </row>
    <row r="2191" spans="1:7" x14ac:dyDescent="0.25">
      <c r="A2191" s="1" t="s">
        <v>2406</v>
      </c>
      <c r="B2191" s="2" t="str">
        <f>HYPERLINK("https://www.elsevier.com/locate/issn/1748-0132", "Nano Today")</f>
        <v>Nano Today</v>
      </c>
      <c r="C2191" s="1" t="s">
        <v>10</v>
      </c>
      <c r="D2191" s="1">
        <v>4830</v>
      </c>
      <c r="E2191" s="1">
        <v>4520</v>
      </c>
      <c r="F2191" s="1">
        <v>3870</v>
      </c>
      <c r="G2191" s="1">
        <v>599060</v>
      </c>
    </row>
    <row r="2192" spans="1:7" x14ac:dyDescent="0.25">
      <c r="A2192" s="1" t="s">
        <v>2407</v>
      </c>
      <c r="B2192" s="2" t="str">
        <f>HYPERLINK("https://www.elsevier.com/locate/issn/2790-6760", "Nano TransMed")</f>
        <v>Nano TransMed</v>
      </c>
      <c r="C2192" s="1" t="s">
        <v>34</v>
      </c>
      <c r="D2192" s="1" t="s">
        <v>324</v>
      </c>
      <c r="E2192" s="1" t="s">
        <v>324</v>
      </c>
      <c r="F2192" s="1" t="s">
        <v>324</v>
      </c>
      <c r="G2192" s="1" t="s">
        <v>324</v>
      </c>
    </row>
    <row r="2193" spans="1:7" x14ac:dyDescent="0.25">
      <c r="A2193" s="1" t="s">
        <v>2408</v>
      </c>
      <c r="B2193" s="2" t="str">
        <f>HYPERLINK("https://www.elsevier.com/locate/issn/2666-9781", "Nano Trends")</f>
        <v>Nano Trends</v>
      </c>
      <c r="C2193" s="1" t="s">
        <v>23</v>
      </c>
      <c r="D2193" s="1">
        <v>2000</v>
      </c>
      <c r="E2193" s="1">
        <v>1870</v>
      </c>
      <c r="F2193" s="1">
        <v>1600</v>
      </c>
      <c r="G2193" s="1">
        <v>248060</v>
      </c>
    </row>
    <row r="2194" spans="1:7" x14ac:dyDescent="0.25">
      <c r="A2194" s="1" t="s">
        <v>2409</v>
      </c>
      <c r="B2194" s="2" t="str">
        <f>HYPERLINK("https://www.elsevier.com/locate/issn/2352-507X", "Nano-Structures &amp; Nano-Objects")</f>
        <v>Nano-Structures &amp; Nano-Objects</v>
      </c>
      <c r="C2194" s="1" t="s">
        <v>10</v>
      </c>
      <c r="D2194" s="1">
        <v>3130</v>
      </c>
      <c r="E2194" s="1">
        <v>2930</v>
      </c>
      <c r="F2194" s="1">
        <v>2510</v>
      </c>
      <c r="G2194" s="1">
        <v>388210</v>
      </c>
    </row>
    <row r="2195" spans="1:7" x14ac:dyDescent="0.25">
      <c r="A2195" s="1" t="s">
        <v>2410</v>
      </c>
      <c r="B2195" s="2" t="str">
        <f>HYPERLINK("https://www.elsevier.com/locate/issn/2452-0748", "NanoImpact")</f>
        <v>NanoImpact</v>
      </c>
      <c r="C2195" s="1" t="s">
        <v>10</v>
      </c>
      <c r="D2195" s="1">
        <v>3600</v>
      </c>
      <c r="E2195" s="1">
        <v>3280</v>
      </c>
      <c r="F2195" s="1">
        <v>2880</v>
      </c>
      <c r="G2195" s="1">
        <v>446510</v>
      </c>
    </row>
    <row r="2196" spans="1:7" x14ac:dyDescent="0.25">
      <c r="A2196" s="1" t="s">
        <v>2411</v>
      </c>
      <c r="B2196" s="2" t="str">
        <f>HYPERLINK("https://www.elsevier.com/locate/issn/2352-8540", "Natural Gas Industry B")</f>
        <v>Natural Gas Industry B</v>
      </c>
      <c r="C2196" s="1" t="s">
        <v>34</v>
      </c>
      <c r="D2196" s="1" t="s">
        <v>324</v>
      </c>
      <c r="E2196" s="1" t="s">
        <v>324</v>
      </c>
      <c r="F2196" s="1" t="s">
        <v>324</v>
      </c>
      <c r="G2196" s="1" t="s">
        <v>324</v>
      </c>
    </row>
    <row r="2197" spans="1:7" x14ac:dyDescent="0.25">
      <c r="A2197" s="1" t="s">
        <v>2412</v>
      </c>
      <c r="B2197" s="2" t="str">
        <f>HYPERLINK("https://www.elsevier.com/locate/issn/2666-5921", "Natural Hazards Research")</f>
        <v>Natural Hazards Research</v>
      </c>
      <c r="C2197" s="1" t="s">
        <v>34</v>
      </c>
      <c r="D2197" s="1" t="s">
        <v>324</v>
      </c>
      <c r="E2197" s="1" t="s">
        <v>324</v>
      </c>
      <c r="F2197" s="1" t="s">
        <v>324</v>
      </c>
      <c r="G2197" s="1" t="s">
        <v>324</v>
      </c>
    </row>
    <row r="2198" spans="1:7" x14ac:dyDescent="0.25">
      <c r="A2198" s="1" t="s">
        <v>2413</v>
      </c>
      <c r="B2198" s="2" t="str">
        <f>HYPERLINK("https://www.elsevier.com/locate/issn/2949-7191", "Natural Language Processing Journal")</f>
        <v>Natural Language Processing Journal</v>
      </c>
      <c r="C2198" s="1" t="s">
        <v>23</v>
      </c>
      <c r="D2198" s="1">
        <v>1740</v>
      </c>
      <c r="E2198" s="1">
        <v>1630</v>
      </c>
      <c r="F2198" s="1">
        <v>1390</v>
      </c>
      <c r="G2198" s="1">
        <v>215810</v>
      </c>
    </row>
    <row r="2199" spans="1:7" x14ac:dyDescent="0.25">
      <c r="A2199" s="1" t="s">
        <v>2414</v>
      </c>
      <c r="B2199" s="2" t="str">
        <f>HYPERLINK("https://www.elsevier.com/locate/issn/2772-4115", "Nature-Based Solutions")</f>
        <v>Nature-Based Solutions</v>
      </c>
      <c r="C2199" s="1" t="s">
        <v>23</v>
      </c>
      <c r="D2199" s="1">
        <v>1910</v>
      </c>
      <c r="E2199" s="1">
        <v>1790</v>
      </c>
      <c r="F2199" s="1">
        <v>1530</v>
      </c>
      <c r="G2199" s="1">
        <v>236900</v>
      </c>
    </row>
    <row r="2200" spans="1:7" x14ac:dyDescent="0.25">
      <c r="A2200" s="1" t="s">
        <v>2415</v>
      </c>
      <c r="B2200" s="2" t="str">
        <f>HYPERLINK("https://www.elsevier.com/locate/issn/0963-8695", "NDT &amp; E International")</f>
        <v>NDT &amp; E International</v>
      </c>
      <c r="C2200" s="1" t="s">
        <v>10</v>
      </c>
      <c r="D2200" s="1">
        <v>4440</v>
      </c>
      <c r="E2200" s="1">
        <v>4150</v>
      </c>
      <c r="F2200" s="1">
        <v>3550</v>
      </c>
      <c r="G2200" s="1">
        <v>550690</v>
      </c>
    </row>
    <row r="2201" spans="1:7" x14ac:dyDescent="0.25">
      <c r="A2201" s="1" t="s">
        <v>2416</v>
      </c>
      <c r="B2201" s="2" t="str">
        <f>HYPERLINK("https://www.elsevier.com/locate/issn/0211-6995", "Nefrología")</f>
        <v>Nefrología</v>
      </c>
      <c r="C2201" s="1" t="s">
        <v>34</v>
      </c>
      <c r="D2201" s="1" t="s">
        <v>324</v>
      </c>
      <c r="E2201" s="1" t="s">
        <v>324</v>
      </c>
      <c r="F2201" s="1" t="s">
        <v>324</v>
      </c>
      <c r="G2201" s="1" t="s">
        <v>324</v>
      </c>
    </row>
    <row r="2202" spans="1:7" x14ac:dyDescent="0.25">
      <c r="A2202" s="1" t="s">
        <v>2417</v>
      </c>
      <c r="B2202" s="2" t="str">
        <f>HYPERLINK("https://www.elsevier.com/locate/issn/2013-2514", "Nefrología (English Edition)")</f>
        <v>Nefrología (English Edition)</v>
      </c>
      <c r="C2202" s="1" t="s">
        <v>34</v>
      </c>
      <c r="D2202" s="1" t="s">
        <v>324</v>
      </c>
      <c r="E2202" s="1" t="s">
        <v>324</v>
      </c>
      <c r="F2202" s="1" t="s">
        <v>324</v>
      </c>
      <c r="G2202" s="1" t="s">
        <v>324</v>
      </c>
    </row>
    <row r="2203" spans="1:7" x14ac:dyDescent="0.25">
      <c r="A2203" s="1" t="s">
        <v>2418</v>
      </c>
      <c r="B2203" s="2" t="str">
        <f>HYPERLINK("https://www.elsevier.com/locate/issn/1476-5586", "Neoplasia")</f>
        <v>Neoplasia</v>
      </c>
      <c r="C2203" s="1" t="s">
        <v>23</v>
      </c>
      <c r="D2203" s="1">
        <v>3530</v>
      </c>
      <c r="E2203" s="1">
        <v>3300</v>
      </c>
      <c r="F2203" s="1">
        <v>2830</v>
      </c>
      <c r="G2203" s="1">
        <v>437830</v>
      </c>
    </row>
    <row r="2204" spans="1:7" x14ac:dyDescent="0.25">
      <c r="A2204" s="1" t="s">
        <v>2419</v>
      </c>
      <c r="B2204" s="2" t="str">
        <f>HYPERLINK("https://www.elsevier.com/locate/issn/0893-6080", "Neural Networks")</f>
        <v>Neural Networks</v>
      </c>
      <c r="C2204" s="1" t="s">
        <v>10</v>
      </c>
      <c r="D2204" s="1">
        <v>3110</v>
      </c>
      <c r="E2204" s="1">
        <v>2910</v>
      </c>
      <c r="F2204" s="1">
        <v>2490</v>
      </c>
      <c r="G2204" s="1">
        <v>385730</v>
      </c>
    </row>
    <row r="2205" spans="1:7" x14ac:dyDescent="0.25">
      <c r="A2205" s="1" t="s">
        <v>2420</v>
      </c>
      <c r="B2205" s="2" t="str">
        <f>HYPERLINK("https://www.elsevier.com/locate/issn/0197-4580", "Neurobiology of Aging")</f>
        <v>Neurobiology of Aging</v>
      </c>
      <c r="C2205" s="1" t="s">
        <v>10</v>
      </c>
      <c r="D2205" s="1">
        <v>3430</v>
      </c>
      <c r="E2205" s="1">
        <v>3210</v>
      </c>
      <c r="F2205" s="1">
        <v>2750</v>
      </c>
      <c r="G2205" s="1">
        <v>425420</v>
      </c>
    </row>
    <row r="2206" spans="1:7" x14ac:dyDescent="0.25">
      <c r="A2206" s="1" t="s">
        <v>2421</v>
      </c>
      <c r="B2206" s="2" t="str">
        <f>HYPERLINK("https://www.elsevier.com/locate/issn/0969-9961", "Neurobiology of Disease")</f>
        <v>Neurobiology of Disease</v>
      </c>
      <c r="C2206" s="1" t="s">
        <v>23</v>
      </c>
      <c r="D2206" s="1">
        <v>3900</v>
      </c>
      <c r="E2206" s="1">
        <v>3650</v>
      </c>
      <c r="F2206" s="1">
        <v>3120</v>
      </c>
      <c r="G2206" s="1">
        <v>483720</v>
      </c>
    </row>
    <row r="2207" spans="1:7" x14ac:dyDescent="0.25">
      <c r="A2207" s="1" t="s">
        <v>2422</v>
      </c>
      <c r="B2207" s="2" t="str">
        <f>HYPERLINK("https://www.elsevier.com/locate/issn/1074-7427", "Neurobiology of Learning and Memory")</f>
        <v>Neurobiology of Learning and Memory</v>
      </c>
      <c r="C2207" s="1" t="s">
        <v>10</v>
      </c>
      <c r="D2207" s="1">
        <v>4000</v>
      </c>
      <c r="E2207" s="1">
        <v>3740</v>
      </c>
      <c r="F2207" s="1">
        <v>3200</v>
      </c>
      <c r="G2207" s="1">
        <v>496120</v>
      </c>
    </row>
    <row r="2208" spans="1:7" x14ac:dyDescent="0.25">
      <c r="A2208" s="1" t="s">
        <v>2423</v>
      </c>
      <c r="B2208" s="2" t="str">
        <f>HYPERLINK("https://www.elsevier.com/locate/issn/2452-073X", "Neurobiology of Pain")</f>
        <v>Neurobiology of Pain</v>
      </c>
      <c r="C2208" s="1" t="s">
        <v>23</v>
      </c>
      <c r="D2208" s="1">
        <v>2160</v>
      </c>
      <c r="E2208" s="1">
        <v>2020</v>
      </c>
      <c r="F2208" s="1">
        <v>1730</v>
      </c>
      <c r="G2208" s="1">
        <v>267900</v>
      </c>
    </row>
    <row r="2209" spans="1:7" x14ac:dyDescent="0.25">
      <c r="A2209" s="1" t="s">
        <v>2424</v>
      </c>
      <c r="B2209" s="2" t="str">
        <f>HYPERLINK("https://www.elsevier.com/locate/issn/2451-9944", "Neurobiology of Sleep and Circadian Rhythms")</f>
        <v>Neurobiology of Sleep and Circadian Rhythms</v>
      </c>
      <c r="C2209" s="1" t="s">
        <v>23</v>
      </c>
      <c r="D2209" s="1">
        <v>2510</v>
      </c>
      <c r="E2209" s="1">
        <v>2350</v>
      </c>
      <c r="F2209" s="1">
        <v>2010</v>
      </c>
      <c r="G2209" s="1">
        <v>311320</v>
      </c>
    </row>
    <row r="2210" spans="1:7" x14ac:dyDescent="0.25">
      <c r="A2210" s="1" t="s">
        <v>2425</v>
      </c>
      <c r="B2210" s="2" t="str">
        <f>HYPERLINK("https://www.elsevier.com/locate/issn/2352-2895", "Neurobiology of Stress")</f>
        <v>Neurobiology of Stress</v>
      </c>
      <c r="C2210" s="1" t="s">
        <v>23</v>
      </c>
      <c r="D2210" s="1">
        <v>4050</v>
      </c>
      <c r="E2210" s="1">
        <v>3790</v>
      </c>
      <c r="F2210" s="1">
        <v>3240</v>
      </c>
      <c r="G2210" s="1">
        <v>502320</v>
      </c>
    </row>
    <row r="2211" spans="1:7" x14ac:dyDescent="0.25">
      <c r="A2211" s="1" t="s">
        <v>2426</v>
      </c>
      <c r="B2211" s="2" t="str">
        <f>HYPERLINK("https://www.elsevier.com/locate/issn/0197-0186", "Neurochemistry International")</f>
        <v>Neurochemistry International</v>
      </c>
      <c r="C2211" s="1" t="s">
        <v>10</v>
      </c>
      <c r="D2211" s="1">
        <v>4170</v>
      </c>
      <c r="E2211" s="1">
        <v>3900</v>
      </c>
      <c r="F2211" s="1">
        <v>3340</v>
      </c>
      <c r="G2211" s="1">
        <v>517210</v>
      </c>
    </row>
    <row r="2212" spans="1:7" x14ac:dyDescent="0.25">
      <c r="A2212" s="1" t="s">
        <v>2427</v>
      </c>
      <c r="B2212" s="2" t="str">
        <f>HYPERLINK("https://www.elsevier.com/locate/issn/0028-3770", "Neurochirurgie")</f>
        <v>Neurochirurgie</v>
      </c>
      <c r="C2212" s="1" t="s">
        <v>10</v>
      </c>
      <c r="D2212" s="1">
        <v>3830</v>
      </c>
      <c r="E2212" s="1">
        <v>3490</v>
      </c>
      <c r="F2212" s="1">
        <v>3070</v>
      </c>
      <c r="G2212" s="1">
        <v>475030</v>
      </c>
    </row>
    <row r="2213" spans="1:7" x14ac:dyDescent="0.25">
      <c r="A2213" s="1" t="s">
        <v>2428</v>
      </c>
      <c r="B2213" s="2" t="str">
        <f>HYPERLINK("https://www.elsevier.com/locate/issn/1130-1473", "Neurocirugía")</f>
        <v>Neurocirugía</v>
      </c>
      <c r="C2213" s="1" t="s">
        <v>10</v>
      </c>
      <c r="D2213" s="1">
        <v>2830</v>
      </c>
      <c r="E2213" s="1">
        <v>2650</v>
      </c>
      <c r="F2213" s="1">
        <v>2270</v>
      </c>
      <c r="G2213" s="1">
        <v>351000</v>
      </c>
    </row>
    <row r="2214" spans="1:7" x14ac:dyDescent="0.25">
      <c r="A2214" s="1" t="s">
        <v>2429</v>
      </c>
      <c r="B2214" s="2" t="str">
        <f>HYPERLINK("https://www.elsevier.com/locate/issn/2529-8496", "Neurocirugía (English Edition)")</f>
        <v>Neurocirugía (English Edition)</v>
      </c>
      <c r="C2214" s="1" t="s">
        <v>10</v>
      </c>
      <c r="D2214" s="1">
        <v>2830</v>
      </c>
      <c r="E2214" s="1">
        <v>2650</v>
      </c>
      <c r="F2214" s="1">
        <v>2260</v>
      </c>
      <c r="G2214" s="1">
        <v>351000</v>
      </c>
    </row>
    <row r="2215" spans="1:7" x14ac:dyDescent="0.25">
      <c r="A2215" s="1" t="s">
        <v>2430</v>
      </c>
      <c r="B2215" s="2" t="str">
        <f>HYPERLINK("https://www.elsevier.com/locate/issn/0925-2312", "Neurocomputing")</f>
        <v>Neurocomputing</v>
      </c>
      <c r="C2215" s="1" t="s">
        <v>10</v>
      </c>
      <c r="D2215" s="1">
        <v>2670</v>
      </c>
      <c r="E2215" s="1">
        <v>2500</v>
      </c>
      <c r="F2215" s="1">
        <v>2140</v>
      </c>
      <c r="G2215" s="1">
        <v>331160</v>
      </c>
    </row>
    <row r="2216" spans="1:7" x14ac:dyDescent="0.25">
      <c r="A2216" s="1" t="s">
        <v>2431</v>
      </c>
      <c r="B2216" s="2" t="str">
        <f>HYPERLINK("https://www.elsevier.com/locate/issn/1053-8119", "NeuroImage")</f>
        <v>NeuroImage</v>
      </c>
      <c r="C2216" s="1" t="s">
        <v>23</v>
      </c>
      <c r="D2216" s="1">
        <v>3540</v>
      </c>
      <c r="E2216" s="1">
        <v>3310</v>
      </c>
      <c r="F2216" s="1">
        <v>2830</v>
      </c>
      <c r="G2216" s="1">
        <v>439070</v>
      </c>
    </row>
    <row r="2217" spans="1:7" x14ac:dyDescent="0.25">
      <c r="A2217" s="1" t="s">
        <v>2432</v>
      </c>
      <c r="B2217" s="2" t="str">
        <f>HYPERLINK("https://www.elsevier.com/locate/issn/2213-1582", "NeuroImage: Clinical")</f>
        <v>NeuroImage: Clinical</v>
      </c>
      <c r="C2217" s="1" t="s">
        <v>23</v>
      </c>
      <c r="D2217" s="1">
        <v>3490</v>
      </c>
      <c r="E2217" s="1">
        <v>3260</v>
      </c>
      <c r="F2217" s="1">
        <v>2790</v>
      </c>
      <c r="G2217" s="1">
        <v>432860</v>
      </c>
    </row>
    <row r="2218" spans="1:7" x14ac:dyDescent="0.25">
      <c r="A2218" s="1" t="s">
        <v>2433</v>
      </c>
      <c r="B2218" s="2" t="str">
        <f>HYPERLINK("https://www.elsevier.com/locate/issn/2666-9560", "Neuroimage: Reports")</f>
        <v>Neuroimage: Reports</v>
      </c>
      <c r="C2218" s="1" t="s">
        <v>23</v>
      </c>
      <c r="D2218" s="1">
        <v>2160</v>
      </c>
      <c r="E2218" s="1">
        <v>2020</v>
      </c>
      <c r="F2218" s="1">
        <v>1730</v>
      </c>
      <c r="G2218" s="1">
        <v>267900</v>
      </c>
    </row>
    <row r="2219" spans="1:7" x14ac:dyDescent="0.25">
      <c r="A2219" s="1" t="s">
        <v>2434</v>
      </c>
      <c r="B2219" s="2" t="str">
        <f>HYPERLINK("https://www.elsevier.com/locate/issn/2667-257X", "Neuroimmunology Reports")</f>
        <v>Neuroimmunology Reports</v>
      </c>
      <c r="C2219" s="1" t="s">
        <v>23</v>
      </c>
      <c r="D2219" s="1">
        <v>2120</v>
      </c>
      <c r="E2219" s="1">
        <v>1980</v>
      </c>
      <c r="F2219" s="1">
        <v>1700</v>
      </c>
      <c r="G2219" s="1">
        <v>262940</v>
      </c>
    </row>
    <row r="2220" spans="1:7" x14ac:dyDescent="0.25">
      <c r="A2220" s="1" t="s">
        <v>2435</v>
      </c>
      <c r="B2220" s="2" t="str">
        <f>HYPERLINK("https://www.elsevier.com/locate/issn/2667-0496", "Neurology Perspectives")</f>
        <v>Neurology Perspectives</v>
      </c>
      <c r="C2220" s="1" t="s">
        <v>23</v>
      </c>
      <c r="D2220" s="1">
        <v>1430</v>
      </c>
      <c r="E2220" s="1">
        <v>1340</v>
      </c>
      <c r="F2220" s="1">
        <v>1140</v>
      </c>
      <c r="G2220" s="1">
        <v>177360</v>
      </c>
    </row>
    <row r="2221" spans="1:7" x14ac:dyDescent="0.25">
      <c r="A2221" s="1" t="s">
        <v>2436</v>
      </c>
      <c r="B2221" s="2" t="str">
        <f>HYPERLINK("https://www.elsevier.com/locate/issn/0213-4853", "Neurología")</f>
        <v>Neurología</v>
      </c>
      <c r="C2221" s="1" t="s">
        <v>23</v>
      </c>
      <c r="D2221" s="1">
        <v>2010</v>
      </c>
      <c r="E2221" s="1">
        <v>1880</v>
      </c>
      <c r="F2221" s="1">
        <v>1610</v>
      </c>
      <c r="G2221" s="1">
        <v>249300</v>
      </c>
    </row>
    <row r="2222" spans="1:7" x14ac:dyDescent="0.25">
      <c r="A2222" s="1" t="s">
        <v>2437</v>
      </c>
      <c r="B2222" s="2" t="str">
        <f>HYPERLINK("https://www.elsevier.com/locate/issn/2173-5808", "Neurología (English Edition)")</f>
        <v>Neurología (English Edition)</v>
      </c>
      <c r="C2222" s="1" t="s">
        <v>34</v>
      </c>
      <c r="D2222" s="1" t="s">
        <v>324</v>
      </c>
      <c r="E2222" s="1" t="s">
        <v>324</v>
      </c>
      <c r="F2222" s="1" t="s">
        <v>324</v>
      </c>
      <c r="G2222" s="1" t="s">
        <v>324</v>
      </c>
    </row>
    <row r="2223" spans="1:7" x14ac:dyDescent="0.25">
      <c r="A2223" s="1" t="s">
        <v>2438</v>
      </c>
      <c r="B2223" s="2" t="str">
        <f>HYPERLINK("https://www.elsevier.com/locate/issn/2950-5887", "NeuroMarkers")</f>
        <v>NeuroMarkers</v>
      </c>
      <c r="C2223" s="1" t="s">
        <v>34</v>
      </c>
      <c r="D2223" s="1" t="s">
        <v>324</v>
      </c>
      <c r="E2223" s="1" t="s">
        <v>324</v>
      </c>
      <c r="F2223" s="1" t="s">
        <v>324</v>
      </c>
      <c r="G2223" s="1" t="s">
        <v>324</v>
      </c>
    </row>
    <row r="2224" spans="1:7" x14ac:dyDescent="0.25">
      <c r="A2224" s="1" t="s">
        <v>2439</v>
      </c>
      <c r="B2224" s="2" t="str">
        <f>HYPERLINK("https://www.elsevier.com/locate/issn/1094-7159", "Neuromodulation: Technology at the Neural Interface")</f>
        <v>Neuromodulation: Technology at the Neural Interface</v>
      </c>
      <c r="C2224" s="1" t="s">
        <v>10</v>
      </c>
      <c r="D2224" s="1">
        <v>4110</v>
      </c>
      <c r="E2224" s="1">
        <v>3840</v>
      </c>
      <c r="F2224" s="1">
        <v>3290</v>
      </c>
      <c r="G2224" s="1">
        <v>509760</v>
      </c>
    </row>
    <row r="2225" spans="1:7" x14ac:dyDescent="0.25">
      <c r="A2225" s="1" t="s">
        <v>2440</v>
      </c>
      <c r="B2225" s="2" t="str">
        <f>HYPERLINK("https://www.elsevier.com/locate/issn/0960-8966", "Neuromuscular Disorders")</f>
        <v>Neuromuscular Disorders</v>
      </c>
      <c r="C2225" s="1" t="s">
        <v>10</v>
      </c>
      <c r="D2225" s="1">
        <v>3470</v>
      </c>
      <c r="E2225" s="1">
        <v>3250</v>
      </c>
      <c r="F2225" s="1">
        <v>2780</v>
      </c>
      <c r="G2225" s="1">
        <v>430380</v>
      </c>
    </row>
    <row r="2226" spans="1:7" x14ac:dyDescent="0.25">
      <c r="A2226" s="1" t="s">
        <v>2441</v>
      </c>
      <c r="B2226" s="2" t="str">
        <f>HYPERLINK("https://www.elsevier.com/locate/issn/0896-6273", "Neuron")</f>
        <v>Neuron</v>
      </c>
      <c r="C2226" s="1" t="s">
        <v>10</v>
      </c>
      <c r="D2226" s="1">
        <v>10400</v>
      </c>
      <c r="E2226" s="1">
        <v>9640</v>
      </c>
      <c r="F2226" s="1">
        <v>8330</v>
      </c>
      <c r="G2226" s="1">
        <v>1289910</v>
      </c>
    </row>
    <row r="2227" spans="1:7" x14ac:dyDescent="0.25">
      <c r="A2227" s="1" t="s">
        <v>2442</v>
      </c>
      <c r="B2227" s="2" t="str">
        <f>HYPERLINK("https://www.elsevier.com/locate/issn/0143-4179", "Neuropeptides")</f>
        <v>Neuropeptides</v>
      </c>
      <c r="C2227" s="1" t="s">
        <v>10</v>
      </c>
      <c r="D2227" s="1">
        <v>3530</v>
      </c>
      <c r="E2227" s="1">
        <v>3300</v>
      </c>
      <c r="F2227" s="1">
        <v>2830</v>
      </c>
      <c r="G2227" s="1">
        <v>437830</v>
      </c>
    </row>
    <row r="2228" spans="1:7" x14ac:dyDescent="0.25">
      <c r="A2228" s="1" t="s">
        <v>2443</v>
      </c>
      <c r="B2228" s="2" t="str">
        <f>HYPERLINK("https://www.elsevier.com/locate/issn/0028-3908", "Neuropharmacology")</f>
        <v>Neuropharmacology</v>
      </c>
      <c r="C2228" s="1" t="s">
        <v>10</v>
      </c>
      <c r="D2228" s="1">
        <v>4300</v>
      </c>
      <c r="E2228" s="1">
        <v>4020</v>
      </c>
      <c r="F2228" s="1">
        <v>3440</v>
      </c>
      <c r="G2228" s="1">
        <v>533330</v>
      </c>
    </row>
    <row r="2229" spans="1:7" x14ac:dyDescent="0.25">
      <c r="A2229" s="1" t="s">
        <v>2444</v>
      </c>
      <c r="B2229" s="2" t="str">
        <f>HYPERLINK("https://www.elsevier.com/locate/issn/0987-7053", "Neurophysiologie Clinique")</f>
        <v>Neurophysiologie Clinique</v>
      </c>
      <c r="C2229" s="1" t="s">
        <v>10</v>
      </c>
      <c r="D2229" s="1">
        <v>2760</v>
      </c>
      <c r="E2229" s="1">
        <v>2520</v>
      </c>
      <c r="F2229" s="1">
        <v>2210</v>
      </c>
      <c r="G2229" s="1">
        <v>342320</v>
      </c>
    </row>
    <row r="2230" spans="1:7" x14ac:dyDescent="0.25">
      <c r="A2230" s="1" t="s">
        <v>2445</v>
      </c>
      <c r="B2230" s="2" t="str">
        <f>HYPERLINK("https://www.elsevier.com/locate/issn/0222-9617", "Neuropsychiatrie de l'Enfance et de l'Adolescence")</f>
        <v>Neuropsychiatrie de l'Enfance et de l'Adolescence</v>
      </c>
      <c r="C2230" s="1" t="s">
        <v>10</v>
      </c>
      <c r="D2230" s="1">
        <v>3190</v>
      </c>
      <c r="E2230" s="1">
        <v>2910</v>
      </c>
      <c r="F2230" s="1">
        <v>2550</v>
      </c>
      <c r="G2230" s="1">
        <v>395660</v>
      </c>
    </row>
    <row r="2231" spans="1:7" x14ac:dyDescent="0.25">
      <c r="A2231" s="1" t="s">
        <v>2446</v>
      </c>
      <c r="B2231" s="2" t="str">
        <f>HYPERLINK("https://www.elsevier.com/locate/issn/0028-3932", "Neuropsychologia")</f>
        <v>Neuropsychologia</v>
      </c>
      <c r="C2231" s="1" t="s">
        <v>10</v>
      </c>
      <c r="D2231" s="1">
        <v>3300</v>
      </c>
      <c r="E2231" s="1">
        <v>3090</v>
      </c>
      <c r="F2231" s="1">
        <v>2640</v>
      </c>
      <c r="G2231" s="1">
        <v>409300</v>
      </c>
    </row>
    <row r="2232" spans="1:7" x14ac:dyDescent="0.25">
      <c r="A2232" s="1" t="s">
        <v>2447</v>
      </c>
      <c r="B2232" s="2" t="str">
        <f>HYPERLINK("https://www.elsevier.com/locate/issn/0306-4522", "Neuroscience")</f>
        <v>Neuroscience</v>
      </c>
      <c r="C2232" s="1" t="s">
        <v>10</v>
      </c>
      <c r="D2232" s="1">
        <v>3500</v>
      </c>
      <c r="E2232" s="1">
        <v>3270</v>
      </c>
      <c r="F2232" s="1">
        <v>2800</v>
      </c>
      <c r="G2232" s="1">
        <v>434110</v>
      </c>
    </row>
    <row r="2233" spans="1:7" x14ac:dyDescent="0.25">
      <c r="A2233" s="1" t="s">
        <v>2448</v>
      </c>
      <c r="B2233" s="2" t="str">
        <f>HYPERLINK("https://www.elsevier.com/locate/issn/0149-7634", "Neuroscience &amp; Biobehavioral Reviews")</f>
        <v>Neuroscience &amp; Biobehavioral Reviews</v>
      </c>
      <c r="C2233" s="1" t="s">
        <v>10</v>
      </c>
      <c r="D2233" s="1">
        <v>4860</v>
      </c>
      <c r="E2233" s="1">
        <v>4550</v>
      </c>
      <c r="F2233" s="1">
        <v>3890</v>
      </c>
      <c r="G2233" s="1">
        <v>602790</v>
      </c>
    </row>
    <row r="2234" spans="1:7" x14ac:dyDescent="0.25">
      <c r="A2234" s="1" t="s">
        <v>2449</v>
      </c>
      <c r="B2234" s="2" t="str">
        <f>HYPERLINK("https://www.elsevier.com/locate/issn/2772-4085", "Neuroscience Applied")</f>
        <v>Neuroscience Applied</v>
      </c>
      <c r="C2234" s="1" t="s">
        <v>23</v>
      </c>
      <c r="D2234" s="1">
        <v>2000</v>
      </c>
      <c r="E2234" s="1">
        <v>1870</v>
      </c>
      <c r="F2234" s="1">
        <v>1600</v>
      </c>
      <c r="G2234" s="1">
        <v>248060</v>
      </c>
    </row>
    <row r="2235" spans="1:7" x14ac:dyDescent="0.25">
      <c r="A2235" s="1" t="s">
        <v>2450</v>
      </c>
      <c r="B2235" s="2" t="str">
        <f>HYPERLINK("https://www.elsevier.com/locate/issn/2772-5286", "Neuroscience Informatics")</f>
        <v>Neuroscience Informatics</v>
      </c>
      <c r="C2235" s="1" t="s">
        <v>23</v>
      </c>
      <c r="D2235" s="1">
        <v>1590</v>
      </c>
      <c r="E2235" s="1">
        <v>1490</v>
      </c>
      <c r="F2235" s="1">
        <v>1270</v>
      </c>
      <c r="G2235" s="1">
        <v>197210</v>
      </c>
    </row>
    <row r="2236" spans="1:7" x14ac:dyDescent="0.25">
      <c r="A2236" s="1" t="s">
        <v>2451</v>
      </c>
      <c r="B2236" s="2" t="str">
        <f>HYPERLINK("https://www.elsevier.com/locate/issn/0304-3940", "Neuroscience Letters")</f>
        <v>Neuroscience Letters</v>
      </c>
      <c r="C2236" s="1" t="s">
        <v>10</v>
      </c>
      <c r="D2236" s="1">
        <v>3430</v>
      </c>
      <c r="E2236" s="1">
        <v>3210</v>
      </c>
      <c r="F2236" s="1">
        <v>2750</v>
      </c>
      <c r="G2236" s="1">
        <v>425420</v>
      </c>
    </row>
    <row r="2237" spans="1:7" x14ac:dyDescent="0.25">
      <c r="A2237" s="1" t="s">
        <v>2452</v>
      </c>
      <c r="B2237" s="2" t="str">
        <f>HYPERLINK("https://www.elsevier.com/locate/issn/0168-0102", "Neuroscience Research")</f>
        <v>Neuroscience Research</v>
      </c>
      <c r="C2237" s="1" t="s">
        <v>23</v>
      </c>
      <c r="D2237" s="1">
        <v>2770</v>
      </c>
      <c r="E2237" s="1">
        <v>2590</v>
      </c>
      <c r="F2237" s="1">
        <v>2220</v>
      </c>
      <c r="G2237" s="1">
        <v>343560</v>
      </c>
    </row>
    <row r="2238" spans="1:7" x14ac:dyDescent="0.25">
      <c r="A2238" s="1" t="s">
        <v>2453</v>
      </c>
      <c r="B2238" s="2" t="str">
        <f>HYPERLINK("https://www.elsevier.com/locate/issn/0161-813X", "NeuroToxicology")</f>
        <v>NeuroToxicology</v>
      </c>
      <c r="C2238" s="1" t="s">
        <v>10</v>
      </c>
      <c r="D2238" s="1">
        <v>4030</v>
      </c>
      <c r="E2238" s="1">
        <v>3770</v>
      </c>
      <c r="F2238" s="1">
        <v>3230</v>
      </c>
      <c r="G2238" s="1">
        <v>499840</v>
      </c>
    </row>
    <row r="2239" spans="1:7" x14ac:dyDescent="0.25">
      <c r="A2239" s="1" t="s">
        <v>2454</v>
      </c>
      <c r="B2239" s="2" t="str">
        <f>HYPERLINK("https://www.elsevier.com/locate/issn/0892-0362", "Neurotoxicology and Teratology")</f>
        <v>Neurotoxicology and Teratology</v>
      </c>
      <c r="C2239" s="1" t="s">
        <v>10</v>
      </c>
      <c r="D2239" s="1">
        <v>3850</v>
      </c>
      <c r="E2239" s="1">
        <v>3600</v>
      </c>
      <c r="F2239" s="1">
        <v>3080</v>
      </c>
      <c r="G2239" s="1">
        <v>477520</v>
      </c>
    </row>
    <row r="2240" spans="1:7" x14ac:dyDescent="0.25">
      <c r="A2240" s="1" t="s">
        <v>2455</v>
      </c>
      <c r="B2240" s="2" t="str">
        <f>HYPERLINK("https://www.elsevier.com/locate/issn/1384-1076", "New Astronomy")</f>
        <v>New Astronomy</v>
      </c>
      <c r="C2240" s="1" t="s">
        <v>10</v>
      </c>
      <c r="D2240" s="1">
        <v>2690</v>
      </c>
      <c r="E2240" s="1">
        <v>2520</v>
      </c>
      <c r="F2240" s="1">
        <v>2150</v>
      </c>
      <c r="G2240" s="1">
        <v>333640</v>
      </c>
    </row>
    <row r="2241" spans="1:7" x14ac:dyDescent="0.25">
      <c r="A2241" s="1" t="s">
        <v>2456</v>
      </c>
      <c r="B2241" s="2" t="str">
        <f>HYPERLINK("https://www.elsevier.com/locate/issn/1387-6473", "New Astronomy Reviews")</f>
        <v>New Astronomy Reviews</v>
      </c>
      <c r="C2241" s="1" t="s">
        <v>10</v>
      </c>
      <c r="D2241" s="1">
        <v>4350</v>
      </c>
      <c r="E2241" s="1">
        <v>4070</v>
      </c>
      <c r="F2241" s="1">
        <v>3480</v>
      </c>
      <c r="G2241" s="1">
        <v>539530</v>
      </c>
    </row>
    <row r="2242" spans="1:7" x14ac:dyDescent="0.25">
      <c r="A2242" s="1" t="s">
        <v>2457</v>
      </c>
      <c r="B2242" s="2" t="str">
        <f>HYPERLINK("https://www.elsevier.com/locate/issn/1871-6784", "New Biotechnology")</f>
        <v>New Biotechnology</v>
      </c>
      <c r="C2242" s="1" t="s">
        <v>23</v>
      </c>
      <c r="D2242" s="1">
        <v>3670</v>
      </c>
      <c r="E2242" s="1">
        <v>3430</v>
      </c>
      <c r="F2242" s="1">
        <v>2940</v>
      </c>
      <c r="G2242" s="1">
        <v>455190</v>
      </c>
    </row>
    <row r="2243" spans="1:7" x14ac:dyDescent="0.25">
      <c r="A2243" s="1" t="s">
        <v>2458</v>
      </c>
      <c r="B2243" s="2" t="str">
        <f>HYPERLINK("https://www.elsevier.com/locate/issn/2949-9526", "New Crops")</f>
        <v>New Crops</v>
      </c>
      <c r="C2243" s="1" t="s">
        <v>34</v>
      </c>
      <c r="D2243" s="1" t="s">
        <v>324</v>
      </c>
      <c r="E2243" s="1" t="s">
        <v>324</v>
      </c>
      <c r="F2243" s="1" t="s">
        <v>324</v>
      </c>
      <c r="G2243" s="1" t="s">
        <v>324</v>
      </c>
    </row>
    <row r="2244" spans="1:7" x14ac:dyDescent="0.25">
      <c r="A2244" s="1" t="s">
        <v>2459</v>
      </c>
      <c r="B2244" s="2" t="str">
        <f>HYPERLINK("https://www.elsevier.com/locate/issn/0732-118X", "New Ideas in Psychology")</f>
        <v>New Ideas in Psychology</v>
      </c>
      <c r="C2244" s="1" t="s">
        <v>10</v>
      </c>
      <c r="D2244" s="1">
        <v>3600</v>
      </c>
      <c r="E2244" s="1">
        <v>3370</v>
      </c>
      <c r="F2244" s="1">
        <v>2880</v>
      </c>
      <c r="G2244" s="1">
        <v>446510</v>
      </c>
    </row>
    <row r="2245" spans="1:7" x14ac:dyDescent="0.25">
      <c r="A2245" s="1" t="s">
        <v>2460</v>
      </c>
      <c r="B2245" s="2" t="str">
        <f>HYPERLINK("https://www.elsevier.com/locate/issn/2052-2975", "New Microbes and New Infections")</f>
        <v>New Microbes and New Infections</v>
      </c>
      <c r="C2245" s="1" t="s">
        <v>23</v>
      </c>
      <c r="D2245" s="1">
        <v>2770</v>
      </c>
      <c r="E2245" s="1">
        <v>2530</v>
      </c>
      <c r="F2245" s="1">
        <v>2220</v>
      </c>
      <c r="G2245" s="1">
        <v>343560</v>
      </c>
    </row>
    <row r="2246" spans="1:7" x14ac:dyDescent="0.25">
      <c r="A2246" s="1" t="s">
        <v>2461</v>
      </c>
      <c r="B2246" s="2" t="str">
        <f>HYPERLINK("https://www.elsevier.com/locate/issn/2664-3294", "New Techno-Humanities")</f>
        <v>New Techno-Humanities</v>
      </c>
      <c r="C2246" s="1" t="s">
        <v>23</v>
      </c>
      <c r="D2246" s="1">
        <v>1400</v>
      </c>
      <c r="E2246" s="1">
        <v>1310</v>
      </c>
      <c r="F2246" s="1">
        <v>1120</v>
      </c>
      <c r="G2246" s="1">
        <v>173640</v>
      </c>
    </row>
    <row r="2247" spans="1:7" x14ac:dyDescent="0.25">
      <c r="A2247" s="1" t="s">
        <v>2462</v>
      </c>
      <c r="B2247" s="2" t="str">
        <f>HYPERLINK("https://www.elsevier.com/locate/issn/2950-6360", "Newton")</f>
        <v>Newton</v>
      </c>
      <c r="C2247" s="1" t="s">
        <v>10</v>
      </c>
      <c r="D2247" s="1">
        <v>5460</v>
      </c>
      <c r="E2247" s="1">
        <v>5060</v>
      </c>
      <c r="F2247" s="1">
        <v>4370</v>
      </c>
      <c r="G2247" s="1">
        <v>677200</v>
      </c>
    </row>
    <row r="2248" spans="1:7" x14ac:dyDescent="0.25">
      <c r="A2248" s="1" t="s">
        <v>2463</v>
      </c>
      <c r="B2248" s="2" t="str">
        <f>HYPERLINK("https://www.elsevier.com/locate/issn/3050-7235", "Next Bioengineering")</f>
        <v>Next Bioengineering</v>
      </c>
      <c r="C2248" s="1" t="s">
        <v>23</v>
      </c>
      <c r="D2248" s="1">
        <v>1250</v>
      </c>
      <c r="E2248" s="1">
        <v>1170</v>
      </c>
      <c r="F2248" s="1">
        <v>1000</v>
      </c>
      <c r="G2248" s="1">
        <v>155040</v>
      </c>
    </row>
    <row r="2249" spans="1:7" x14ac:dyDescent="0.25">
      <c r="A2249" s="1" t="s">
        <v>2464</v>
      </c>
      <c r="B2249" s="2" t="str">
        <f>HYPERLINK("https://www.elsevier.com/locate/issn/3050-7243", "Next Chemical Engineering")</f>
        <v>Next Chemical Engineering</v>
      </c>
      <c r="C2249" s="1" t="s">
        <v>23</v>
      </c>
      <c r="D2249" s="1">
        <v>1250</v>
      </c>
      <c r="E2249" s="1">
        <v>1170</v>
      </c>
      <c r="F2249" s="1">
        <v>1000</v>
      </c>
      <c r="G2249" s="1">
        <v>155040</v>
      </c>
    </row>
    <row r="2250" spans="1:7" x14ac:dyDescent="0.25">
      <c r="A2250" s="1" t="s">
        <v>2465</v>
      </c>
      <c r="B2250" s="2" t="str">
        <f>HYPERLINK("https://www.elsevier.com/locate/issn/2949-821X", "Next Energy")</f>
        <v>Next Energy</v>
      </c>
      <c r="C2250" s="1" t="s">
        <v>23</v>
      </c>
      <c r="D2250" s="1">
        <v>1280</v>
      </c>
      <c r="E2250" s="1">
        <v>1200</v>
      </c>
      <c r="F2250" s="1">
        <v>1020</v>
      </c>
      <c r="G2250" s="1">
        <v>158760</v>
      </c>
    </row>
    <row r="2251" spans="1:7" x14ac:dyDescent="0.25">
      <c r="A2251" s="1" t="s">
        <v>2466</v>
      </c>
      <c r="B2251" s="2" t="str">
        <f>HYPERLINK("https://www.elsevier.com/locate/issn/2949-8228", "Next Materials")</f>
        <v>Next Materials</v>
      </c>
      <c r="C2251" s="1" t="s">
        <v>23</v>
      </c>
      <c r="D2251" s="1">
        <v>1280</v>
      </c>
      <c r="E2251" s="1">
        <v>1200</v>
      </c>
      <c r="F2251" s="1">
        <v>1020</v>
      </c>
      <c r="G2251" s="1">
        <v>158760</v>
      </c>
    </row>
    <row r="2252" spans="1:7" x14ac:dyDescent="0.25">
      <c r="A2252" s="1" t="s">
        <v>2467</v>
      </c>
      <c r="B2252" s="2" t="str">
        <f>HYPERLINK("https://www.elsevier.com/locate/issn/2949-8295", "Next Nanotechnology")</f>
        <v>Next Nanotechnology</v>
      </c>
      <c r="C2252" s="1" t="s">
        <v>23</v>
      </c>
      <c r="D2252" s="1">
        <v>1280</v>
      </c>
      <c r="E2252" s="1">
        <v>1200</v>
      </c>
      <c r="F2252" s="1">
        <v>1020</v>
      </c>
      <c r="G2252" s="1">
        <v>158760</v>
      </c>
    </row>
    <row r="2253" spans="1:7" x14ac:dyDescent="0.25">
      <c r="A2253" s="1" t="s">
        <v>2468</v>
      </c>
      <c r="B2253" s="2" t="str">
        <f>HYPERLINK("https://www.elsevier.com/locate/issn/3050-4759", "Next Research")</f>
        <v>Next Research</v>
      </c>
      <c r="C2253" s="1" t="s">
        <v>10</v>
      </c>
      <c r="D2253" s="1">
        <v>2500</v>
      </c>
      <c r="E2253" s="1">
        <v>2340</v>
      </c>
      <c r="F2253" s="1">
        <v>2000</v>
      </c>
      <c r="G2253" s="1">
        <v>310080</v>
      </c>
    </row>
    <row r="2254" spans="1:7" x14ac:dyDescent="0.25">
      <c r="A2254" s="1" t="s">
        <v>2469</v>
      </c>
      <c r="B2254" s="2" t="str">
        <f>HYPERLINK("https://www.elsevier.com/locate/issn/2949-8236", "Next Sustainability")</f>
        <v>Next Sustainability</v>
      </c>
      <c r="C2254" s="1" t="s">
        <v>23</v>
      </c>
      <c r="D2254" s="1">
        <v>1280</v>
      </c>
      <c r="E2254" s="1">
        <v>1200</v>
      </c>
      <c r="F2254" s="1">
        <v>1020</v>
      </c>
      <c r="G2254" s="1">
        <v>158760</v>
      </c>
    </row>
    <row r="2255" spans="1:7" x14ac:dyDescent="0.25">
      <c r="A2255" s="1" t="s">
        <v>2470</v>
      </c>
      <c r="B2255" s="2" t="str">
        <f>HYPERLINK("https://www.elsevier.com/locate/issn/2950-1601", "Nexus")</f>
        <v>Nexus</v>
      </c>
      <c r="C2255" s="1" t="s">
        <v>23</v>
      </c>
      <c r="D2255" s="1">
        <v>5000</v>
      </c>
      <c r="E2255" s="1">
        <v>4630</v>
      </c>
      <c r="F2255" s="1">
        <v>4000</v>
      </c>
      <c r="G2255" s="1">
        <v>620150</v>
      </c>
    </row>
    <row r="2256" spans="1:7" x14ac:dyDescent="0.25">
      <c r="A2256" s="1" t="s">
        <v>2471</v>
      </c>
      <c r="B2256" s="2" t="str">
        <f>HYPERLINK("https://www.elsevier.com/locate/issn/2352-3646", "NFS Journal")</f>
        <v>NFS Journal</v>
      </c>
      <c r="C2256" s="1" t="s">
        <v>23</v>
      </c>
      <c r="D2256" s="1">
        <v>3400</v>
      </c>
      <c r="E2256" s="1">
        <v>3180</v>
      </c>
      <c r="F2256" s="1">
        <v>2720</v>
      </c>
      <c r="G2256" s="1">
        <v>421700</v>
      </c>
    </row>
    <row r="2257" spans="1:7" x14ac:dyDescent="0.25">
      <c r="A2257" s="1" t="s">
        <v>2472</v>
      </c>
      <c r="B2257" s="2" t="str">
        <f>HYPERLINK("https://www.elsevier.com/locate/issn/1089-8603", "Nitric Oxide")</f>
        <v>Nitric Oxide</v>
      </c>
      <c r="C2257" s="1" t="s">
        <v>10</v>
      </c>
      <c r="D2257" s="1">
        <v>3400</v>
      </c>
      <c r="E2257" s="1">
        <v>3180</v>
      </c>
      <c r="F2257" s="1">
        <v>2720</v>
      </c>
      <c r="G2257" s="1">
        <v>421700</v>
      </c>
    </row>
    <row r="2258" spans="1:7" x14ac:dyDescent="0.25">
      <c r="A2258" s="1" t="s">
        <v>2473</v>
      </c>
      <c r="B2258" s="2" t="str">
        <f>HYPERLINK("https://www.elsevier.com/locate/issn/2468-0540", "Non-coding RNA Research")</f>
        <v>Non-coding RNA Research</v>
      </c>
      <c r="C2258" s="1" t="s">
        <v>34</v>
      </c>
      <c r="D2258" s="1">
        <v>1100</v>
      </c>
      <c r="E2258" s="1">
        <v>1030</v>
      </c>
      <c r="F2258" s="1">
        <v>880</v>
      </c>
      <c r="G2258" s="1">
        <v>136430</v>
      </c>
    </row>
    <row r="2259" spans="1:7" x14ac:dyDescent="0.25">
      <c r="A2259" s="1" t="s">
        <v>2474</v>
      </c>
      <c r="B2259" s="2" t="str">
        <f>HYPERLINK("https://www.elsevier.com/locate/issn/0362-546X", "Nonlinear Analysis")</f>
        <v>Nonlinear Analysis</v>
      </c>
      <c r="C2259" s="1" t="s">
        <v>10</v>
      </c>
      <c r="D2259" s="1">
        <v>2690</v>
      </c>
      <c r="E2259" s="1">
        <v>2520</v>
      </c>
      <c r="F2259" s="1">
        <v>2150</v>
      </c>
      <c r="G2259" s="1">
        <v>333640</v>
      </c>
    </row>
    <row r="2260" spans="1:7" x14ac:dyDescent="0.25">
      <c r="A2260" s="1" t="s">
        <v>2475</v>
      </c>
      <c r="B2260" s="2" t="str">
        <f>HYPERLINK("https://www.elsevier.com/locate/issn/1751-570X", "Nonlinear Analysis: Hybrid Systems")</f>
        <v>Nonlinear Analysis: Hybrid Systems</v>
      </c>
      <c r="C2260" s="1" t="s">
        <v>10</v>
      </c>
      <c r="D2260" s="1">
        <v>3570</v>
      </c>
      <c r="E2260" s="1">
        <v>3340</v>
      </c>
      <c r="F2260" s="1">
        <v>2860</v>
      </c>
      <c r="G2260" s="1">
        <v>442790</v>
      </c>
    </row>
    <row r="2261" spans="1:7" x14ac:dyDescent="0.25">
      <c r="A2261" s="1" t="s">
        <v>2476</v>
      </c>
      <c r="B2261" s="2" t="str">
        <f>HYPERLINK("https://www.elsevier.com/locate/issn/1468-1218", "Nonlinear Analysis: Real World Applications")</f>
        <v>Nonlinear Analysis: Real World Applications</v>
      </c>
      <c r="C2261" s="1" t="s">
        <v>10</v>
      </c>
      <c r="D2261" s="1">
        <v>3780</v>
      </c>
      <c r="E2261" s="1">
        <v>3540</v>
      </c>
      <c r="F2261" s="1">
        <v>3030</v>
      </c>
      <c r="G2261" s="1">
        <v>468830</v>
      </c>
    </row>
    <row r="2262" spans="1:7" x14ac:dyDescent="0.25">
      <c r="A2262" s="1" t="s">
        <v>2477</v>
      </c>
      <c r="B2262" s="2" t="str">
        <f>HYPERLINK("https://www.elsevier.com/locate/issn/3050-5178", "Nonlinear Science")</f>
        <v>Nonlinear Science</v>
      </c>
      <c r="C2262" s="1" t="s">
        <v>10</v>
      </c>
      <c r="D2262" s="1">
        <v>2000</v>
      </c>
      <c r="E2262" s="1">
        <v>1870</v>
      </c>
      <c r="F2262" s="1">
        <v>1600</v>
      </c>
      <c r="G2262" s="1">
        <v>248060</v>
      </c>
    </row>
    <row r="2263" spans="1:7" x14ac:dyDescent="0.25">
      <c r="A2263" s="1" t="s">
        <v>2478</v>
      </c>
      <c r="B2263" s="2" t="str">
        <f>HYPERLINK("https://www.elsevier.com/locate/issn/2666-5484", "North American Spine Society Journal (NASSJ)")</f>
        <v>North American Spine Society Journal (NASSJ)</v>
      </c>
      <c r="C2263" s="1" t="s">
        <v>23</v>
      </c>
      <c r="D2263" s="1">
        <v>1950</v>
      </c>
      <c r="E2263" s="1">
        <v>1820</v>
      </c>
      <c r="F2263" s="1">
        <v>1560</v>
      </c>
      <c r="G2263" s="1">
        <v>241860</v>
      </c>
    </row>
    <row r="2264" spans="1:7" x14ac:dyDescent="0.25">
      <c r="A2264" s="1" t="s">
        <v>2479</v>
      </c>
      <c r="B2264" s="2" t="str">
        <f>HYPERLINK("https://www.elsevier.com/locate/issn/1627-4830", "NPG Neurologie - Psychiatrie – Gériatrie")</f>
        <v>NPG Neurologie - Psychiatrie – Gériatrie</v>
      </c>
      <c r="C2264" s="1" t="s">
        <v>10</v>
      </c>
      <c r="D2264" s="1">
        <v>2320</v>
      </c>
      <c r="E2264" s="1">
        <v>2120</v>
      </c>
      <c r="F2264" s="1">
        <v>1860</v>
      </c>
      <c r="G2264" s="1">
        <v>287750</v>
      </c>
    </row>
    <row r="2265" spans="1:7" x14ac:dyDescent="0.25">
      <c r="A2265" s="1" t="s">
        <v>2480</v>
      </c>
      <c r="B2265" s="2" t="str">
        <f>HYPERLINK("https://www.elsevier.com/locate/issn/2773-1839", "Nuclear Analysis")</f>
        <v>Nuclear Analysis</v>
      </c>
      <c r="C2265" s="1" t="s">
        <v>34</v>
      </c>
      <c r="D2265" s="1" t="s">
        <v>324</v>
      </c>
      <c r="E2265" s="1" t="s">
        <v>324</v>
      </c>
      <c r="F2265" s="1" t="s">
        <v>324</v>
      </c>
      <c r="G2265" s="1" t="s">
        <v>324</v>
      </c>
    </row>
    <row r="2266" spans="1:7" x14ac:dyDescent="0.25">
      <c r="A2266" s="1" t="s">
        <v>2481</v>
      </c>
      <c r="B2266" s="2" t="str">
        <f>HYPERLINK("https://www.elsevier.com/locate/issn/2405-6014", "Nuclear and Particle Physics Proceedings")</f>
        <v>Nuclear and Particle Physics Proceedings</v>
      </c>
      <c r="C2266" s="1" t="s">
        <v>10</v>
      </c>
      <c r="D2266" s="1">
        <v>1640</v>
      </c>
      <c r="E2266" s="1">
        <v>1530</v>
      </c>
      <c r="F2266" s="1">
        <v>1310</v>
      </c>
      <c r="G2266" s="1">
        <v>203410</v>
      </c>
    </row>
    <row r="2267" spans="1:7" x14ac:dyDescent="0.25">
      <c r="A2267" s="1" t="s">
        <v>2482</v>
      </c>
      <c r="B2267" s="2" t="str">
        <f>HYPERLINK("https://www.elsevier.com/locate/issn/0090-3752", "Nuclear Data Sheets")</f>
        <v>Nuclear Data Sheets</v>
      </c>
      <c r="C2267" s="1" t="s">
        <v>10</v>
      </c>
      <c r="D2267" s="1">
        <v>3240</v>
      </c>
      <c r="E2267" s="1">
        <v>3030</v>
      </c>
      <c r="F2267" s="1">
        <v>2590</v>
      </c>
      <c r="G2267" s="1">
        <v>401860</v>
      </c>
    </row>
    <row r="2268" spans="1:7" x14ac:dyDescent="0.25">
      <c r="A2268" s="1" t="s">
        <v>2483</v>
      </c>
      <c r="B2268" s="2" t="str">
        <f>HYPERLINK("https://www.elsevier.com/locate/issn/0029-5493", "Nuclear Engineering and Design")</f>
        <v>Nuclear Engineering and Design</v>
      </c>
      <c r="C2268" s="1" t="s">
        <v>10</v>
      </c>
      <c r="D2268" s="1">
        <v>2710</v>
      </c>
      <c r="E2268" s="1">
        <v>2540</v>
      </c>
      <c r="F2268" s="1">
        <v>2170</v>
      </c>
      <c r="G2268" s="1">
        <v>336120</v>
      </c>
    </row>
    <row r="2269" spans="1:7" x14ac:dyDescent="0.25">
      <c r="A2269" s="1" t="s">
        <v>2484</v>
      </c>
      <c r="B2269" s="2" t="str">
        <f>HYPERLINK("https://www.elsevier.com/locate/issn/1738-5733", "Nuclear Engineering and Technology")</f>
        <v>Nuclear Engineering and Technology</v>
      </c>
      <c r="C2269" s="1" t="s">
        <v>34</v>
      </c>
      <c r="D2269" s="1" t="s">
        <v>324</v>
      </c>
      <c r="E2269" s="1" t="s">
        <v>324</v>
      </c>
      <c r="F2269" s="1" t="s">
        <v>324</v>
      </c>
      <c r="G2269" s="1" t="s">
        <v>324</v>
      </c>
    </row>
    <row r="2270" spans="1:7" ht="30" x14ac:dyDescent="0.25">
      <c r="A2270" s="1" t="s">
        <v>2485</v>
      </c>
      <c r="B2270" s="2" t="str">
        <f>HYPERLINK("https://www.elsevier.com/locate/issn/0168-583X", "Nuclear Instruments and Methods in Physics Research Section B: Beam Interactions with Materials and Atoms")</f>
        <v>Nuclear Instruments and Methods in Physics Research Section B: Beam Interactions with Materials and Atoms</v>
      </c>
      <c r="C2270" s="1" t="s">
        <v>10</v>
      </c>
      <c r="D2270" s="1">
        <v>2810</v>
      </c>
      <c r="E2270" s="1">
        <v>2630</v>
      </c>
      <c r="F2270" s="1">
        <v>2250</v>
      </c>
      <c r="G2270" s="1">
        <v>348520</v>
      </c>
    </row>
    <row r="2271" spans="1:7" x14ac:dyDescent="0.25">
      <c r="A2271" s="1" t="s">
        <v>2486</v>
      </c>
      <c r="B2271" s="2" t="str">
        <f>HYPERLINK("https://www.elsevier.com/locate/issn/2352-1791", "Nuclear Materials and Energy")</f>
        <v>Nuclear Materials and Energy</v>
      </c>
      <c r="C2271" s="1" t="s">
        <v>23</v>
      </c>
      <c r="D2271" s="1">
        <v>2190</v>
      </c>
      <c r="E2271" s="1">
        <v>2050</v>
      </c>
      <c r="F2271" s="1">
        <v>1750</v>
      </c>
      <c r="G2271" s="1">
        <v>271630</v>
      </c>
    </row>
    <row r="2272" spans="1:7" x14ac:dyDescent="0.25">
      <c r="A2272" s="1" t="s">
        <v>2487</v>
      </c>
      <c r="B2272" s="2" t="str">
        <f>HYPERLINK("https://www.elsevier.com/locate/issn/0969-8051", "Nuclear Medicine and Biology")</f>
        <v>Nuclear Medicine and Biology</v>
      </c>
      <c r="C2272" s="1" t="s">
        <v>10</v>
      </c>
      <c r="D2272" s="1">
        <v>3740</v>
      </c>
      <c r="E2272" s="1">
        <v>3500</v>
      </c>
      <c r="F2272" s="1">
        <v>2990</v>
      </c>
      <c r="G2272" s="1">
        <v>463870</v>
      </c>
    </row>
    <row r="2273" spans="1:7" x14ac:dyDescent="0.25">
      <c r="A2273" s="1" t="s">
        <v>2488</v>
      </c>
      <c r="B2273" s="2" t="str">
        <f>HYPERLINK("https://www.elsevier.com/locate/issn/0375-9474", "Nuclear Physics A")</f>
        <v>Nuclear Physics A</v>
      </c>
      <c r="C2273" s="1" t="s">
        <v>10</v>
      </c>
      <c r="D2273" s="1">
        <v>2590</v>
      </c>
      <c r="E2273" s="1">
        <v>2420</v>
      </c>
      <c r="F2273" s="1">
        <v>2070</v>
      </c>
      <c r="G2273" s="1">
        <v>321240</v>
      </c>
    </row>
    <row r="2274" spans="1:7" x14ac:dyDescent="0.25">
      <c r="A2274" s="1" t="s">
        <v>2489</v>
      </c>
      <c r="B2274" s="2" t="str">
        <f>HYPERLINK("https://www.elsevier.com/locate/issn/0550-3213", "Nuclear Physics B")</f>
        <v>Nuclear Physics B</v>
      </c>
      <c r="C2274" s="1" t="s">
        <v>23</v>
      </c>
      <c r="D2274" s="1" t="s">
        <v>324</v>
      </c>
      <c r="E2274" s="1" t="s">
        <v>324</v>
      </c>
      <c r="F2274" s="1" t="s">
        <v>324</v>
      </c>
      <c r="G2274" s="1" t="s">
        <v>324</v>
      </c>
    </row>
    <row r="2275" spans="1:7" x14ac:dyDescent="0.25">
      <c r="A2275" s="1" t="s">
        <v>2490</v>
      </c>
      <c r="B2275" s="2" t="str">
        <f>HYPERLINK("https://www.elsevier.com/locate/issn/1471-5953", "Nurse Education in Practice")</f>
        <v>Nurse Education in Practice</v>
      </c>
      <c r="C2275" s="1" t="s">
        <v>10</v>
      </c>
      <c r="D2275" s="1">
        <v>3970</v>
      </c>
      <c r="E2275" s="1">
        <v>3710</v>
      </c>
      <c r="F2275" s="1">
        <v>3180</v>
      </c>
      <c r="G2275" s="1">
        <v>492400</v>
      </c>
    </row>
    <row r="2276" spans="1:7" x14ac:dyDescent="0.25">
      <c r="A2276" s="1" t="s">
        <v>2491</v>
      </c>
      <c r="B2276" s="2" t="str">
        <f>HYPERLINK("https://www.elsevier.com/locate/issn/0260-6917", "Nurse Education Today")</f>
        <v>Nurse Education Today</v>
      </c>
      <c r="C2276" s="1" t="s">
        <v>10</v>
      </c>
      <c r="D2276" s="1">
        <v>4010</v>
      </c>
      <c r="E2276" s="1">
        <v>3750</v>
      </c>
      <c r="F2276" s="1">
        <v>3210</v>
      </c>
      <c r="G2276" s="1">
        <v>497360</v>
      </c>
    </row>
    <row r="2277" spans="1:7" x14ac:dyDescent="0.25">
      <c r="A2277" s="1" t="s">
        <v>2492</v>
      </c>
      <c r="B2277" s="2" t="str">
        <f>HYPERLINK("https://www.elsevier.com/locate/issn/1541-4612", "Nurse Leader")</f>
        <v>Nurse Leader</v>
      </c>
      <c r="C2277" s="1" t="s">
        <v>10</v>
      </c>
      <c r="D2277" s="1">
        <v>2840</v>
      </c>
      <c r="E2277" s="1">
        <v>2660</v>
      </c>
      <c r="F2277" s="1">
        <v>2270</v>
      </c>
      <c r="G2277" s="1">
        <v>352250</v>
      </c>
    </row>
    <row r="2278" spans="1:7" x14ac:dyDescent="0.25">
      <c r="A2278" s="1" t="s">
        <v>2493</v>
      </c>
      <c r="B2278" s="2" t="str">
        <f>HYPERLINK("https://www.elsevier.com/locate/issn/1751-4851", "Nursing for Women's Health")</f>
        <v>Nursing for Women's Health</v>
      </c>
      <c r="C2278" s="1" t="s">
        <v>10</v>
      </c>
      <c r="D2278" s="1">
        <v>3000</v>
      </c>
      <c r="E2278" s="1">
        <v>2810</v>
      </c>
      <c r="F2278" s="1">
        <v>2400</v>
      </c>
      <c r="G2278" s="1">
        <v>372090</v>
      </c>
    </row>
    <row r="2279" spans="1:7" x14ac:dyDescent="0.25">
      <c r="A2279" s="1" t="s">
        <v>2494</v>
      </c>
      <c r="B2279" s="2" t="str">
        <f>HYPERLINK("https://www.elsevier.com/locate/issn/0029-6554", "Nursing Outlook")</f>
        <v>Nursing Outlook</v>
      </c>
      <c r="C2279" s="1" t="s">
        <v>10</v>
      </c>
      <c r="D2279" s="1">
        <v>4260</v>
      </c>
      <c r="E2279" s="1">
        <v>3990</v>
      </c>
      <c r="F2279" s="1">
        <v>3410</v>
      </c>
      <c r="G2279" s="1">
        <v>528370</v>
      </c>
    </row>
    <row r="2280" spans="1:7" x14ac:dyDescent="0.25">
      <c r="A2280" s="1" t="s">
        <v>2495</v>
      </c>
      <c r="B2280" s="2" t="str">
        <f>HYPERLINK("https://www.elsevier.com/locate/issn/0899-9007", "Nutrition")</f>
        <v>Nutrition</v>
      </c>
      <c r="C2280" s="1" t="s">
        <v>10</v>
      </c>
      <c r="D2280" s="1">
        <v>3870</v>
      </c>
      <c r="E2280" s="1">
        <v>3620</v>
      </c>
      <c r="F2280" s="1">
        <v>3100</v>
      </c>
      <c r="G2280" s="1">
        <v>480000</v>
      </c>
    </row>
    <row r="2281" spans="1:7" x14ac:dyDescent="0.25">
      <c r="A2281" s="1" t="s">
        <v>2496</v>
      </c>
      <c r="B2281" s="2" t="str">
        <f>HYPERLINK("https://www.elsevier.com/locate/issn/0985-0562", "Nutrition Clinique et Métabolisme")</f>
        <v>Nutrition Clinique et Métabolisme</v>
      </c>
      <c r="C2281" s="1" t="s">
        <v>10</v>
      </c>
      <c r="D2281" s="1">
        <v>2730</v>
      </c>
      <c r="E2281" s="1">
        <v>2550</v>
      </c>
      <c r="F2281" s="1">
        <v>2190</v>
      </c>
      <c r="G2281" s="1">
        <v>338600</v>
      </c>
    </row>
    <row r="2282" spans="1:7" x14ac:dyDescent="0.25">
      <c r="A2282" s="1" t="s">
        <v>2497</v>
      </c>
      <c r="B2282" s="2" t="str">
        <f>HYPERLINK("https://www.elsevier.com/locate/issn/0271-5317", "Nutrition Research")</f>
        <v>Nutrition Research</v>
      </c>
      <c r="C2282" s="1" t="s">
        <v>10</v>
      </c>
      <c r="D2282" s="1">
        <v>4090</v>
      </c>
      <c r="E2282" s="1">
        <v>3830</v>
      </c>
      <c r="F2282" s="1">
        <v>3270</v>
      </c>
      <c r="G2282" s="1">
        <v>507280</v>
      </c>
    </row>
    <row r="2283" spans="1:7" x14ac:dyDescent="0.25">
      <c r="A2283" s="1" t="s">
        <v>2498</v>
      </c>
      <c r="B2283" s="2" t="str">
        <f>HYPERLINK("https://www.elsevier.com/locate/issn/3051-1569", "Nutritional Psychiatry")</f>
        <v>Nutritional Psychiatry</v>
      </c>
      <c r="C2283" s="1" t="s">
        <v>23</v>
      </c>
      <c r="D2283" s="1">
        <v>3000</v>
      </c>
      <c r="E2283" s="1">
        <v>2810</v>
      </c>
      <c r="F2283" s="1">
        <v>2400</v>
      </c>
      <c r="G2283" s="1">
        <v>372090</v>
      </c>
    </row>
    <row r="2284" spans="1:7" x14ac:dyDescent="0.25">
      <c r="A2284" s="1" t="s">
        <v>2499</v>
      </c>
      <c r="B2284" s="2" t="str">
        <f>HYPERLINK("https://www.elsevier.com/locate/issn/2451-8476", "Obesity Medicine")</f>
        <v>Obesity Medicine</v>
      </c>
      <c r="C2284" s="1" t="s">
        <v>10</v>
      </c>
      <c r="D2284" s="1">
        <v>3240</v>
      </c>
      <c r="E2284" s="1">
        <v>3030</v>
      </c>
      <c r="F2284" s="1">
        <v>2590</v>
      </c>
      <c r="G2284" s="1">
        <v>401860</v>
      </c>
    </row>
    <row r="2285" spans="1:7" x14ac:dyDescent="0.25">
      <c r="A2285" s="1" t="s">
        <v>2500</v>
      </c>
      <c r="B2285" s="2" t="str">
        <f>HYPERLINK("https://www.elsevier.com/locate/issn/2667-3681", "Obesity Pillars")</f>
        <v>Obesity Pillars</v>
      </c>
      <c r="C2285" s="1" t="s">
        <v>23</v>
      </c>
      <c r="D2285" s="1">
        <v>2400</v>
      </c>
      <c r="E2285" s="1">
        <v>2250</v>
      </c>
      <c r="F2285" s="1">
        <v>1920</v>
      </c>
      <c r="G2285" s="1">
        <v>297670</v>
      </c>
    </row>
    <row r="2286" spans="1:7" x14ac:dyDescent="0.25">
      <c r="A2286" s="1" t="s">
        <v>2501</v>
      </c>
      <c r="B2286" s="2" t="str">
        <f>HYPERLINK("https://www.elsevier.com/locate/issn/1871-403X", "Obesity Research &amp; Clinical Practice")</f>
        <v>Obesity Research &amp; Clinical Practice</v>
      </c>
      <c r="C2286" s="1" t="s">
        <v>10</v>
      </c>
      <c r="D2286" s="1">
        <v>3790</v>
      </c>
      <c r="E2286" s="1">
        <v>3550</v>
      </c>
      <c r="F2286" s="1">
        <v>3030</v>
      </c>
      <c r="G2286" s="1">
        <v>470070</v>
      </c>
    </row>
    <row r="2287" spans="1:7" x14ac:dyDescent="0.25">
      <c r="A2287" s="1" t="s">
        <v>2502</v>
      </c>
      <c r="B2287" s="2" t="str">
        <f>HYPERLINK("https://www.elsevier.com/locate/issn/0964-5691", "Ocean &amp; Coastal Management")</f>
        <v>Ocean &amp; Coastal Management</v>
      </c>
      <c r="C2287" s="1" t="s">
        <v>10</v>
      </c>
      <c r="D2287" s="1">
        <v>4350</v>
      </c>
      <c r="E2287" s="1">
        <v>4070</v>
      </c>
      <c r="F2287" s="1">
        <v>3480</v>
      </c>
      <c r="G2287" s="1">
        <v>539530</v>
      </c>
    </row>
    <row r="2288" spans="1:7" x14ac:dyDescent="0.25">
      <c r="A2288" s="1" t="s">
        <v>2503</v>
      </c>
      <c r="B2288" s="2" t="str">
        <f>HYPERLINK("https://www.elsevier.com/locate/issn/0029-8018", "Ocean Engineering")</f>
        <v>Ocean Engineering</v>
      </c>
      <c r="C2288" s="1" t="s">
        <v>10</v>
      </c>
      <c r="D2288" s="1">
        <v>4150</v>
      </c>
      <c r="E2288" s="1">
        <v>3880</v>
      </c>
      <c r="F2288" s="1">
        <v>3320</v>
      </c>
      <c r="G2288" s="1">
        <v>514720</v>
      </c>
    </row>
    <row r="2289" spans="1:7" x14ac:dyDescent="0.25">
      <c r="A2289" s="1" t="s">
        <v>2504</v>
      </c>
      <c r="B2289" s="2" t="str">
        <f>HYPERLINK("https://www.elsevier.com/locate/issn/1463-5003", "Ocean Modelling")</f>
        <v>Ocean Modelling</v>
      </c>
      <c r="C2289" s="1" t="s">
        <v>10</v>
      </c>
      <c r="D2289" s="1">
        <v>3140</v>
      </c>
      <c r="E2289" s="1">
        <v>2940</v>
      </c>
      <c r="F2289" s="1">
        <v>2510</v>
      </c>
      <c r="G2289" s="1">
        <v>389450</v>
      </c>
    </row>
    <row r="2290" spans="1:7" x14ac:dyDescent="0.25">
      <c r="A2290" s="1" t="s">
        <v>2505</v>
      </c>
      <c r="B2290" s="2" t="str">
        <f>HYPERLINK("https://www.elsevier.com/locate/issn/0078-3234", "Oceanologia")</f>
        <v>Oceanologia</v>
      </c>
      <c r="C2290" s="1" t="s">
        <v>34</v>
      </c>
      <c r="D2290" s="1" t="s">
        <v>324</v>
      </c>
      <c r="E2290" s="1" t="s">
        <v>324</v>
      </c>
      <c r="F2290" s="1" t="s">
        <v>324</v>
      </c>
      <c r="G2290" s="1" t="s">
        <v>324</v>
      </c>
    </row>
    <row r="2291" spans="1:7" x14ac:dyDescent="0.25">
      <c r="A2291" s="1" t="s">
        <v>2506</v>
      </c>
      <c r="B2291" s="2" t="str">
        <f>HYPERLINK("https://www.elsevier.com/locate/issn/2949-7817", "Ocular Genetics and Omics")</f>
        <v>Ocular Genetics and Omics</v>
      </c>
      <c r="C2291" s="1" t="s">
        <v>34</v>
      </c>
      <c r="D2291" s="1" t="s">
        <v>324</v>
      </c>
      <c r="E2291" s="1" t="s">
        <v>324</v>
      </c>
      <c r="F2291" s="1" t="s">
        <v>324</v>
      </c>
      <c r="G2291" s="1" t="s">
        <v>324</v>
      </c>
    </row>
    <row r="2292" spans="1:7" x14ac:dyDescent="0.25">
      <c r="A2292" s="1" t="s">
        <v>2507</v>
      </c>
      <c r="B2292" s="2" t="str">
        <f>HYPERLINK("https://www.elsevier.com/locate/issn/2096-2428", "Oil Crop Science")</f>
        <v>Oil Crop Science</v>
      </c>
      <c r="C2292" s="1" t="s">
        <v>34</v>
      </c>
      <c r="D2292" s="1" t="s">
        <v>324</v>
      </c>
      <c r="E2292" s="1" t="s">
        <v>324</v>
      </c>
      <c r="F2292" s="1" t="s">
        <v>324</v>
      </c>
      <c r="G2292" s="1" t="s">
        <v>324</v>
      </c>
    </row>
    <row r="2293" spans="1:7" x14ac:dyDescent="0.25">
      <c r="A2293" s="1" t="s">
        <v>2508</v>
      </c>
      <c r="B2293" s="2" t="str">
        <f>HYPERLINK("https://www.elsevier.com/locate/issn/0305-0483", "Omega")</f>
        <v>Omega</v>
      </c>
      <c r="C2293" s="1" t="s">
        <v>10</v>
      </c>
      <c r="D2293" s="1">
        <v>4030</v>
      </c>
      <c r="E2293" s="1">
        <v>3770</v>
      </c>
      <c r="F2293" s="1">
        <v>3230</v>
      </c>
      <c r="G2293" s="1">
        <v>499840</v>
      </c>
    </row>
    <row r="2294" spans="1:7" x14ac:dyDescent="0.25">
      <c r="A2294" s="1" t="s">
        <v>2509</v>
      </c>
      <c r="B2294" s="2" t="str">
        <f>HYPERLINK("https://www.elsevier.com/locate/issn/2590-3322", "One Earth")</f>
        <v>One Earth</v>
      </c>
      <c r="C2294" s="1" t="s">
        <v>10</v>
      </c>
      <c r="D2294" s="1">
        <v>9170</v>
      </c>
      <c r="E2294" s="1">
        <v>8500</v>
      </c>
      <c r="F2294" s="1">
        <v>7340</v>
      </c>
      <c r="G2294" s="1">
        <v>1137360</v>
      </c>
    </row>
    <row r="2295" spans="1:7" x14ac:dyDescent="0.25">
      <c r="A2295" s="1" t="s">
        <v>2510</v>
      </c>
      <c r="B2295" s="2" t="str">
        <f>HYPERLINK("https://www.elsevier.com/locate/issn/2352-7714", "One Health")</f>
        <v>One Health</v>
      </c>
      <c r="C2295" s="1" t="s">
        <v>23</v>
      </c>
      <c r="D2295" s="1">
        <v>3080</v>
      </c>
      <c r="E2295" s="1">
        <v>2880</v>
      </c>
      <c r="F2295" s="1">
        <v>2470</v>
      </c>
      <c r="G2295" s="1">
        <v>382010</v>
      </c>
    </row>
    <row r="2296" spans="1:7" x14ac:dyDescent="0.25">
      <c r="A2296" s="1" t="s">
        <v>2511</v>
      </c>
      <c r="B2296" s="2" t="str">
        <f>HYPERLINK("https://www.elsevier.com/locate/issn/2468-6964", "Online Social Networks and Media")</f>
        <v>Online Social Networks and Media</v>
      </c>
      <c r="C2296" s="1" t="s">
        <v>10</v>
      </c>
      <c r="D2296" s="1">
        <v>3490</v>
      </c>
      <c r="E2296" s="1">
        <v>3260</v>
      </c>
      <c r="F2296" s="1">
        <v>2790</v>
      </c>
      <c r="G2296" s="1">
        <v>432860</v>
      </c>
    </row>
    <row r="2297" spans="1:7" x14ac:dyDescent="0.25">
      <c r="A2297" s="1" t="s">
        <v>2512</v>
      </c>
      <c r="B2297" s="2" t="str">
        <f>HYPERLINK("https://www.elsevier.com/locate/issn/2666-5395", "Open Ceramics")</f>
        <v>Open Ceramics</v>
      </c>
      <c r="C2297" s="1" t="s">
        <v>23</v>
      </c>
      <c r="D2297" s="1">
        <v>2000</v>
      </c>
      <c r="E2297" s="1">
        <v>1870</v>
      </c>
      <c r="F2297" s="1">
        <v>1600</v>
      </c>
      <c r="G2297" s="1">
        <v>248060</v>
      </c>
    </row>
    <row r="2298" spans="1:7" x14ac:dyDescent="0.25">
      <c r="A2298" s="1" t="s">
        <v>2513</v>
      </c>
      <c r="B2298" s="2" t="str">
        <f>HYPERLINK("https://www.elsevier.com/locate/issn/2659-6636", "Open Respiratory Archives")</f>
        <v>Open Respiratory Archives</v>
      </c>
      <c r="C2298" s="1" t="s">
        <v>23</v>
      </c>
      <c r="D2298" s="1">
        <v>2060</v>
      </c>
      <c r="E2298" s="1">
        <v>1930</v>
      </c>
      <c r="F2298" s="1">
        <v>1650</v>
      </c>
      <c r="G2298" s="1">
        <v>255500</v>
      </c>
    </row>
    <row r="2299" spans="1:7" x14ac:dyDescent="0.25">
      <c r="A2299" s="1" t="s">
        <v>2514</v>
      </c>
      <c r="B2299" s="2" t="str">
        <f>HYPERLINK("https://www.elsevier.com/locate/issn/2352-9520", "OpenNano")</f>
        <v>OpenNano</v>
      </c>
      <c r="C2299" s="1" t="s">
        <v>23</v>
      </c>
      <c r="D2299" s="1">
        <v>1860</v>
      </c>
      <c r="E2299" s="1">
        <v>1740</v>
      </c>
      <c r="F2299" s="1">
        <v>1490</v>
      </c>
      <c r="G2299" s="1">
        <v>230700</v>
      </c>
    </row>
    <row r="2300" spans="1:7" x14ac:dyDescent="0.25">
      <c r="A2300" s="1" t="s">
        <v>2515</v>
      </c>
      <c r="B2300" s="2" t="str">
        <f>HYPERLINK("https://www.elsevier.com/locate/issn/3050-7847", "Operations Research, Data Analytics and Logistics")</f>
        <v>Operations Research, Data Analytics and Logistics</v>
      </c>
      <c r="C2300" s="1" t="s">
        <v>10</v>
      </c>
      <c r="D2300" s="1">
        <v>3200</v>
      </c>
      <c r="E2300" s="1" t="s">
        <v>191</v>
      </c>
      <c r="F2300" s="1">
        <v>2560</v>
      </c>
      <c r="G2300" s="1" t="s">
        <v>2516</v>
      </c>
    </row>
    <row r="2301" spans="1:7" x14ac:dyDescent="0.25">
      <c r="A2301" s="1" t="s">
        <v>2517</v>
      </c>
      <c r="B2301" s="2" t="str">
        <f>HYPERLINK("https://www.elsevier.com/locate/issn/0167-6377", "Operations Research Letters")</f>
        <v>Operations Research Letters</v>
      </c>
      <c r="C2301" s="1" t="s">
        <v>10</v>
      </c>
      <c r="D2301" s="1">
        <v>2960</v>
      </c>
      <c r="E2301" s="1">
        <v>2770</v>
      </c>
      <c r="F2301" s="1">
        <v>2370</v>
      </c>
      <c r="G2301" s="1">
        <v>367130</v>
      </c>
    </row>
    <row r="2302" spans="1:7" x14ac:dyDescent="0.25">
      <c r="A2302" s="1" t="s">
        <v>2518</v>
      </c>
      <c r="B2302" s="2" t="str">
        <f>HYPERLINK("https://www.elsevier.com/locate/issn/2214-7160", "Operations Research Perspectives")</f>
        <v>Operations Research Perspectives</v>
      </c>
      <c r="C2302" s="1" t="s">
        <v>23</v>
      </c>
      <c r="D2302" s="1">
        <v>1790</v>
      </c>
      <c r="E2302" s="1">
        <v>1670</v>
      </c>
      <c r="F2302" s="1">
        <v>1430</v>
      </c>
      <c r="G2302" s="1">
        <v>222010</v>
      </c>
    </row>
    <row r="2303" spans="1:7" x14ac:dyDescent="0.25">
      <c r="A2303" s="1" t="s">
        <v>2519</v>
      </c>
      <c r="B2303" s="2" t="str">
        <f>HYPERLINK("https://www.elsevier.com/locate/issn/1048-6666", "Operative Techniques in Orthopaedics")</f>
        <v>Operative Techniques in Orthopaedics</v>
      </c>
      <c r="C2303" s="1" t="s">
        <v>10</v>
      </c>
      <c r="D2303" s="1">
        <v>2260</v>
      </c>
      <c r="E2303" s="1">
        <v>2110</v>
      </c>
      <c r="F2303" s="1">
        <v>1810</v>
      </c>
      <c r="G2303" s="1">
        <v>280310</v>
      </c>
    </row>
    <row r="2304" spans="1:7" x14ac:dyDescent="0.25">
      <c r="A2304" s="1" t="s">
        <v>2520</v>
      </c>
      <c r="B2304" s="2" t="str">
        <f>HYPERLINK("https://www.elsevier.com/locate/issn/1043-1810", "Operative Techniques in Otolaryngology-Head and Neck Surgery")</f>
        <v>Operative Techniques in Otolaryngology-Head and Neck Surgery</v>
      </c>
      <c r="C2304" s="1" t="s">
        <v>10</v>
      </c>
      <c r="D2304" s="1">
        <v>2930</v>
      </c>
      <c r="E2304" s="1">
        <v>2740</v>
      </c>
      <c r="F2304" s="1">
        <v>2350</v>
      </c>
      <c r="G2304" s="1">
        <v>363410</v>
      </c>
    </row>
    <row r="2305" spans="1:7" x14ac:dyDescent="0.25">
      <c r="A2305" s="1" t="s">
        <v>2521</v>
      </c>
      <c r="B2305" s="2" t="str">
        <f>HYPERLINK("https://www.elsevier.com/locate/issn/1060-1872", "Operative Techniques in Sports Medicine")</f>
        <v>Operative Techniques in Sports Medicine</v>
      </c>
      <c r="C2305" s="1" t="s">
        <v>10</v>
      </c>
      <c r="D2305" s="1">
        <v>1860</v>
      </c>
      <c r="E2305" s="1">
        <v>1740</v>
      </c>
      <c r="F2305" s="1">
        <v>1490</v>
      </c>
      <c r="G2305" s="1">
        <v>230700</v>
      </c>
    </row>
    <row r="2306" spans="1:7" x14ac:dyDescent="0.25">
      <c r="A2306" s="1" t="s">
        <v>2522</v>
      </c>
      <c r="B2306" s="2" t="str">
        <f>HYPERLINK("https://www.elsevier.com/locate/issn/1522-2942", "Operative Techniques in Thoracic and Cardiovascular Surgery")</f>
        <v>Operative Techniques in Thoracic and Cardiovascular Surgery</v>
      </c>
      <c r="C2306" s="1" t="s">
        <v>10</v>
      </c>
      <c r="D2306" s="1">
        <v>3030</v>
      </c>
      <c r="E2306" s="1">
        <v>2830</v>
      </c>
      <c r="F2306" s="1">
        <v>2430</v>
      </c>
      <c r="G2306" s="1">
        <v>375810</v>
      </c>
    </row>
    <row r="2307" spans="1:7" x14ac:dyDescent="0.25">
      <c r="A2307" s="1" t="s">
        <v>2523</v>
      </c>
      <c r="B2307" s="2" t="str">
        <f>HYPERLINK("https://www.elsevier.com/locate/issn/0161-6420", "Ophthalmology")</f>
        <v>Ophthalmology</v>
      </c>
      <c r="C2307" s="1" t="s">
        <v>10</v>
      </c>
      <c r="D2307" s="1">
        <v>5190</v>
      </c>
      <c r="E2307" s="1">
        <v>4860</v>
      </c>
      <c r="F2307" s="1">
        <v>4150</v>
      </c>
      <c r="G2307" s="1">
        <v>643720</v>
      </c>
    </row>
    <row r="2308" spans="1:7" x14ac:dyDescent="0.25">
      <c r="A2308" s="1" t="s">
        <v>2524</v>
      </c>
      <c r="B2308" s="2" t="str">
        <f>HYPERLINK("https://www.elsevier.com/locate/issn/2589-4196", "Ophthalmology Glaucoma")</f>
        <v>Ophthalmology Glaucoma</v>
      </c>
      <c r="C2308" s="1" t="s">
        <v>10</v>
      </c>
      <c r="D2308" s="1">
        <v>3300</v>
      </c>
      <c r="E2308" s="1">
        <v>3090</v>
      </c>
      <c r="F2308" s="1">
        <v>2640</v>
      </c>
      <c r="G2308" s="1">
        <v>409300</v>
      </c>
    </row>
    <row r="2309" spans="1:7" x14ac:dyDescent="0.25">
      <c r="A2309" s="1" t="s">
        <v>2525</v>
      </c>
      <c r="B2309" s="2" t="str">
        <f>HYPERLINK("https://www.elsevier.com/locate/issn/2468-6530", "Ophthalmology Retina")</f>
        <v>Ophthalmology Retina</v>
      </c>
      <c r="C2309" s="1" t="s">
        <v>10</v>
      </c>
      <c r="D2309" s="1">
        <v>4020</v>
      </c>
      <c r="E2309" s="1">
        <v>3760</v>
      </c>
      <c r="F2309" s="1">
        <v>3220</v>
      </c>
      <c r="G2309" s="1">
        <v>498600</v>
      </c>
    </row>
    <row r="2310" spans="1:7" x14ac:dyDescent="0.25">
      <c r="A2310" s="1" t="s">
        <v>2526</v>
      </c>
      <c r="B2310" s="2" t="str">
        <f>HYPERLINK("https://www.elsevier.com/locate/issn/2666-9145", "Ophthalmology Science")</f>
        <v>Ophthalmology Science</v>
      </c>
      <c r="C2310" s="1" t="s">
        <v>23</v>
      </c>
      <c r="D2310" s="1">
        <v>2500</v>
      </c>
      <c r="E2310" s="1">
        <v>2340</v>
      </c>
      <c r="F2310" s="1">
        <v>2000</v>
      </c>
      <c r="G2310" s="1">
        <v>310080</v>
      </c>
    </row>
    <row r="2311" spans="1:7" x14ac:dyDescent="0.25">
      <c r="A2311" s="1" t="s">
        <v>2527</v>
      </c>
      <c r="B2311" s="2" t="str">
        <f>HYPERLINK("https://www.elsevier.com/locate/issn/1068-5200", "Optical Fiber Technology")</f>
        <v>Optical Fiber Technology</v>
      </c>
      <c r="C2311" s="1" t="s">
        <v>10</v>
      </c>
      <c r="D2311" s="1">
        <v>2360</v>
      </c>
      <c r="E2311" s="1">
        <v>2210</v>
      </c>
      <c r="F2311" s="1">
        <v>1890</v>
      </c>
      <c r="G2311" s="1">
        <v>292710</v>
      </c>
    </row>
    <row r="2312" spans="1:7" x14ac:dyDescent="0.25">
      <c r="A2312" s="1" t="s">
        <v>2528</v>
      </c>
      <c r="B2312" s="2" t="str">
        <f>HYPERLINK("https://www.elsevier.com/locate/issn/0925-3467", "Optical Materials")</f>
        <v>Optical Materials</v>
      </c>
      <c r="C2312" s="1" t="s">
        <v>10</v>
      </c>
      <c r="D2312" s="1">
        <v>2610</v>
      </c>
      <c r="E2312" s="1">
        <v>2440</v>
      </c>
      <c r="F2312" s="1">
        <v>2090</v>
      </c>
      <c r="G2312" s="1">
        <v>323720</v>
      </c>
    </row>
    <row r="2313" spans="1:7" x14ac:dyDescent="0.25">
      <c r="A2313" s="1" t="s">
        <v>2529</v>
      </c>
      <c r="B2313" s="2" t="str">
        <f>HYPERLINK("https://www.elsevier.com/locate/issn/2590-1478", "Optical Materials: X")</f>
        <v>Optical Materials: X</v>
      </c>
      <c r="C2313" s="1" t="s">
        <v>23</v>
      </c>
      <c r="D2313" s="1">
        <v>2270</v>
      </c>
      <c r="E2313" s="1">
        <v>2120</v>
      </c>
      <c r="F2313" s="1">
        <v>1820</v>
      </c>
      <c r="G2313" s="1">
        <v>281550</v>
      </c>
    </row>
    <row r="2314" spans="1:7" x14ac:dyDescent="0.25">
      <c r="A2314" s="1" t="s">
        <v>2530</v>
      </c>
      <c r="B2314" s="2" t="str">
        <f>HYPERLINK("https://www.elsevier.com/locate/issn/1573-4277", "Optical Switching and Networking")</f>
        <v>Optical Switching and Networking</v>
      </c>
      <c r="C2314" s="1" t="s">
        <v>10</v>
      </c>
      <c r="D2314" s="1">
        <v>2530</v>
      </c>
      <c r="E2314" s="1">
        <v>2370</v>
      </c>
      <c r="F2314" s="1">
        <v>2030</v>
      </c>
      <c r="G2314" s="1">
        <v>313800</v>
      </c>
    </row>
    <row r="2315" spans="1:7" x14ac:dyDescent="0.25">
      <c r="A2315" s="1" t="s">
        <v>2531</v>
      </c>
      <c r="B2315" s="2" t="str">
        <f>HYPERLINK("https://www.elsevier.com/locate/issn/0030-3992", "Optics &amp; Laser Technology")</f>
        <v>Optics &amp; Laser Technology</v>
      </c>
      <c r="C2315" s="1" t="s">
        <v>10</v>
      </c>
      <c r="D2315" s="1">
        <v>3230</v>
      </c>
      <c r="E2315" s="1">
        <v>3020</v>
      </c>
      <c r="F2315" s="1">
        <v>2590</v>
      </c>
      <c r="G2315" s="1">
        <v>400620</v>
      </c>
    </row>
    <row r="2316" spans="1:7" x14ac:dyDescent="0.25">
      <c r="A2316" s="1" t="s">
        <v>2532</v>
      </c>
      <c r="B2316" s="2" t="str">
        <f>HYPERLINK("https://www.elsevier.com/locate/issn/0143-8166", "Optics and Lasers in Engineering")</f>
        <v>Optics and Lasers in Engineering</v>
      </c>
      <c r="C2316" s="1" t="s">
        <v>10</v>
      </c>
      <c r="D2316" s="1">
        <v>4020</v>
      </c>
      <c r="E2316" s="1">
        <v>3760</v>
      </c>
      <c r="F2316" s="1">
        <v>3220</v>
      </c>
      <c r="G2316" s="1">
        <v>498600</v>
      </c>
    </row>
    <row r="2317" spans="1:7" x14ac:dyDescent="0.25">
      <c r="A2317" s="1" t="s">
        <v>2533</v>
      </c>
      <c r="B2317" s="2" t="str">
        <f>HYPERLINK("https://www.elsevier.com/locate/issn/0030-4018", "Optics Communications")</f>
        <v>Optics Communications</v>
      </c>
      <c r="C2317" s="1" t="s">
        <v>10</v>
      </c>
      <c r="D2317" s="1">
        <v>2600</v>
      </c>
      <c r="E2317" s="1">
        <v>2430</v>
      </c>
      <c r="F2317" s="1">
        <v>2080</v>
      </c>
      <c r="G2317" s="1">
        <v>322480</v>
      </c>
    </row>
    <row r="2318" spans="1:7" x14ac:dyDescent="0.25">
      <c r="A2318" s="1" t="s">
        <v>2534</v>
      </c>
      <c r="B2318" s="2" t="str">
        <f>HYPERLINK("https://www.elsevier.com/locate/issn/0030-4026", "Optik")</f>
        <v>Optik</v>
      </c>
      <c r="C2318" s="1" t="s">
        <v>10</v>
      </c>
      <c r="D2318" s="1">
        <v>2650</v>
      </c>
      <c r="E2318" s="1">
        <v>2480</v>
      </c>
      <c r="F2318" s="1">
        <v>2120</v>
      </c>
      <c r="G2318" s="1">
        <v>328680</v>
      </c>
    </row>
    <row r="2319" spans="1:7" x14ac:dyDescent="0.25">
      <c r="A2319" s="1" t="s">
        <v>2535</v>
      </c>
      <c r="B2319" s="2" t="str">
        <f>HYPERLINK("https://www.elsevier.com/locate/issn/2214-5419", "Oral and Maxillofacial Surgery Cases")</f>
        <v>Oral and Maxillofacial Surgery Cases</v>
      </c>
      <c r="C2319" s="1" t="s">
        <v>23</v>
      </c>
      <c r="D2319" s="1">
        <v>1120</v>
      </c>
      <c r="E2319" s="1">
        <v>1050</v>
      </c>
      <c r="F2319" s="1">
        <v>900</v>
      </c>
      <c r="G2319" s="1">
        <v>138910</v>
      </c>
    </row>
    <row r="2320" spans="1:7" x14ac:dyDescent="0.25">
      <c r="A2320" s="1" t="s">
        <v>2536</v>
      </c>
      <c r="B2320" s="2" t="str">
        <f>HYPERLINK("https://www.elsevier.com/locate/issn/1368-8375", "Oral Oncology")</f>
        <v>Oral Oncology</v>
      </c>
      <c r="C2320" s="1" t="s">
        <v>10</v>
      </c>
      <c r="D2320" s="1">
        <v>4720</v>
      </c>
      <c r="E2320" s="1">
        <v>4420</v>
      </c>
      <c r="F2320" s="1">
        <v>3780</v>
      </c>
      <c r="G2320" s="1">
        <v>585420</v>
      </c>
    </row>
    <row r="2321" spans="1:7" x14ac:dyDescent="0.25">
      <c r="A2321" s="1" t="s">
        <v>2537</v>
      </c>
      <c r="B2321" s="2" t="str">
        <f>HYPERLINK("https://www.elsevier.com/locate/issn/2772-9060", "Oral Oncology Reports")</f>
        <v>Oral Oncology Reports</v>
      </c>
      <c r="C2321" s="1" t="s">
        <v>23</v>
      </c>
      <c r="D2321" s="1">
        <v>2230</v>
      </c>
      <c r="E2321" s="1">
        <v>2090</v>
      </c>
      <c r="F2321" s="1">
        <v>1790</v>
      </c>
      <c r="G2321" s="1">
        <v>276590</v>
      </c>
    </row>
    <row r="2322" spans="1:7" x14ac:dyDescent="0.25">
      <c r="A2322" s="1" t="s">
        <v>2538</v>
      </c>
      <c r="B2322" s="2" t="str">
        <f>HYPERLINK("https://www.elsevier.com/locate/issn/0030-4387", "Orbis")</f>
        <v>Orbis</v>
      </c>
      <c r="C2322" s="1" t="s">
        <v>10</v>
      </c>
      <c r="D2322" s="1">
        <v>1930</v>
      </c>
      <c r="E2322" s="1">
        <v>1810</v>
      </c>
      <c r="F2322" s="1">
        <v>1550</v>
      </c>
      <c r="G2322" s="1">
        <v>239380</v>
      </c>
    </row>
    <row r="2323" spans="1:7" x14ac:dyDescent="0.25">
      <c r="A2323" s="1" t="s">
        <v>2539</v>
      </c>
      <c r="B2323" s="2" t="str">
        <f>HYPERLINK("https://www.elsevier.com/locate/issn/2666-2612", "Ore and Energy Resource Geology")</f>
        <v>Ore and Energy Resource Geology</v>
      </c>
      <c r="C2323" s="1" t="s">
        <v>10</v>
      </c>
      <c r="D2323" s="1">
        <v>1700</v>
      </c>
      <c r="E2323" s="1">
        <v>1590</v>
      </c>
      <c r="F2323" s="1">
        <v>1360</v>
      </c>
      <c r="G2323" s="1">
        <v>210850</v>
      </c>
    </row>
    <row r="2324" spans="1:7" x14ac:dyDescent="0.25">
      <c r="A2324" s="1" t="s">
        <v>2540</v>
      </c>
      <c r="B2324" s="2" t="str">
        <f>HYPERLINK("https://www.elsevier.com/locate/issn/0169-1368", "Ore Geology Reviews")</f>
        <v>Ore Geology Reviews</v>
      </c>
      <c r="C2324" s="1" t="s">
        <v>23</v>
      </c>
      <c r="D2324" s="1">
        <v>3190</v>
      </c>
      <c r="E2324" s="1">
        <v>2980</v>
      </c>
      <c r="F2324" s="1">
        <v>2550</v>
      </c>
      <c r="G2324" s="1">
        <v>395660</v>
      </c>
    </row>
    <row r="2325" spans="1:7" x14ac:dyDescent="0.25">
      <c r="A2325" s="1" t="s">
        <v>2541</v>
      </c>
      <c r="B2325" s="2" t="str">
        <f>HYPERLINK("https://www.elsevier.com/locate/issn/1566-1199", "Organic Electronics")</f>
        <v>Organic Electronics</v>
      </c>
      <c r="C2325" s="1" t="s">
        <v>10</v>
      </c>
      <c r="D2325" s="1">
        <v>3650</v>
      </c>
      <c r="E2325" s="1">
        <v>3410</v>
      </c>
      <c r="F2325" s="1">
        <v>2920</v>
      </c>
      <c r="G2325" s="1">
        <v>452710</v>
      </c>
    </row>
    <row r="2326" spans="1:7" x14ac:dyDescent="0.25">
      <c r="A2326" s="1" t="s">
        <v>2542</v>
      </c>
      <c r="B2326" s="2" t="str">
        <f>HYPERLINK("https://www.elsevier.com/locate/issn/0146-6380", "Organic Geochemistry")</f>
        <v>Organic Geochemistry</v>
      </c>
      <c r="C2326" s="1" t="s">
        <v>10</v>
      </c>
      <c r="D2326" s="1">
        <v>3270</v>
      </c>
      <c r="E2326" s="1">
        <v>3060</v>
      </c>
      <c r="F2326" s="1">
        <v>2620</v>
      </c>
      <c r="G2326" s="1">
        <v>405580</v>
      </c>
    </row>
    <row r="2327" spans="1:7" x14ac:dyDescent="0.25">
      <c r="A2327" s="1" t="s">
        <v>2543</v>
      </c>
      <c r="B2327" s="2" t="str">
        <f>HYPERLINK("https://www.elsevier.com/locate/issn/0749-5978", "Organizational Behavior and Human Decision Processes")</f>
        <v>Organizational Behavior and Human Decision Processes</v>
      </c>
      <c r="C2327" s="1" t="s">
        <v>10</v>
      </c>
      <c r="D2327" s="1">
        <v>3530</v>
      </c>
      <c r="E2327" s="1">
        <v>3300</v>
      </c>
      <c r="F2327" s="1">
        <v>2830</v>
      </c>
      <c r="G2327" s="1">
        <v>437830</v>
      </c>
    </row>
    <row r="2328" spans="1:7" x14ac:dyDescent="0.25">
      <c r="A2328" s="1" t="s">
        <v>2544</v>
      </c>
      <c r="B2328" s="2" t="str">
        <f>HYPERLINK("https://www.elsevier.com/locate/issn/0090-2616", "Organizational Dynamics")</f>
        <v>Organizational Dynamics</v>
      </c>
      <c r="C2328" s="1" t="s">
        <v>10</v>
      </c>
      <c r="D2328" s="1">
        <v>2740</v>
      </c>
      <c r="E2328" s="1">
        <v>2560</v>
      </c>
      <c r="F2328" s="1">
        <v>2190</v>
      </c>
      <c r="G2328" s="1">
        <v>339840</v>
      </c>
    </row>
    <row r="2329" spans="1:7" x14ac:dyDescent="0.25">
      <c r="A2329" s="1" t="s">
        <v>2545</v>
      </c>
      <c r="B2329" s="2" t="str">
        <f>HYPERLINK("https://www.elsevier.com/locate/issn/2666-1020", "Organs-on-a-Chip")</f>
        <v>Organs-on-a-Chip</v>
      </c>
      <c r="C2329" s="1" t="s">
        <v>23</v>
      </c>
      <c r="D2329" s="1">
        <v>1900</v>
      </c>
      <c r="E2329" s="1">
        <v>1780</v>
      </c>
      <c r="F2329" s="1">
        <v>1520</v>
      </c>
      <c r="G2329" s="1">
        <v>235660</v>
      </c>
    </row>
    <row r="2330" spans="1:7" x14ac:dyDescent="0.25">
      <c r="A2330" s="1" t="s">
        <v>2546</v>
      </c>
      <c r="B2330" s="2" t="str">
        <f>HYPERLINK("https://www.elsevier.com/locate/issn/1877-0568", "Orthopaedics &amp; Traumatology: Surgery &amp; Research")</f>
        <v>Orthopaedics &amp; Traumatology: Surgery &amp; Research</v>
      </c>
      <c r="C2330" s="1" t="s">
        <v>10</v>
      </c>
      <c r="D2330" s="1">
        <v>3820</v>
      </c>
      <c r="E2330" s="1">
        <v>3480</v>
      </c>
      <c r="F2330" s="1">
        <v>3060</v>
      </c>
      <c r="G2330" s="1">
        <v>473790</v>
      </c>
    </row>
    <row r="2331" spans="1:7" x14ac:dyDescent="0.25">
      <c r="A2331" s="1" t="s">
        <v>2547</v>
      </c>
      <c r="B2331" s="2" t="str">
        <f>HYPERLINK("https://www.elsevier.com/locate/issn/2666-769X", "Orthoplastic Surgery")</f>
        <v>Orthoplastic Surgery</v>
      </c>
      <c r="C2331" s="1" t="s">
        <v>23</v>
      </c>
      <c r="D2331" s="1">
        <v>1700</v>
      </c>
      <c r="E2331" s="1">
        <v>1590</v>
      </c>
      <c r="F2331" s="1">
        <v>1360</v>
      </c>
      <c r="G2331" s="1">
        <v>210850</v>
      </c>
    </row>
    <row r="2332" spans="1:7" x14ac:dyDescent="0.25">
      <c r="A2332" s="1" t="s">
        <v>2548</v>
      </c>
      <c r="B2332" s="2" t="str">
        <f>HYPERLINK("https://www.elsevier.com/locate/issn/1063-4584", "Osteoarthritis and Cartilage")</f>
        <v>Osteoarthritis and Cartilage</v>
      </c>
      <c r="C2332" s="1" t="s">
        <v>10</v>
      </c>
      <c r="D2332" s="1">
        <v>3700</v>
      </c>
      <c r="E2332" s="1">
        <v>3460</v>
      </c>
      <c r="F2332" s="1">
        <v>2960</v>
      </c>
      <c r="G2332" s="1">
        <v>458910</v>
      </c>
    </row>
    <row r="2333" spans="1:7" x14ac:dyDescent="0.25">
      <c r="A2333" s="1" t="s">
        <v>2549</v>
      </c>
      <c r="B2333" s="2" t="str">
        <f>HYPERLINK("https://www.elsevier.com/locate/issn/2665-9131", "Osteoarthritis and Cartilage Open")</f>
        <v>Osteoarthritis and Cartilage Open</v>
      </c>
      <c r="C2333" s="1" t="s">
        <v>23</v>
      </c>
      <c r="D2333" s="1">
        <v>1610</v>
      </c>
      <c r="E2333" s="1">
        <v>1510</v>
      </c>
      <c r="F2333" s="1">
        <v>1290</v>
      </c>
      <c r="G2333" s="1">
        <v>199690</v>
      </c>
    </row>
    <row r="2334" spans="1:7" x14ac:dyDescent="0.25">
      <c r="A2334" s="1" t="s">
        <v>2550</v>
      </c>
      <c r="B2334" s="2" t="str">
        <f>HYPERLINK("https://www.elsevier.com/locate/issn/2772-6541", "Osteoarthritis Imaging")</f>
        <v>Osteoarthritis Imaging</v>
      </c>
      <c r="C2334" s="1" t="s">
        <v>23</v>
      </c>
      <c r="D2334" s="1">
        <v>1400</v>
      </c>
      <c r="E2334" s="1">
        <v>1310</v>
      </c>
      <c r="F2334" s="1">
        <v>1120</v>
      </c>
      <c r="G2334" s="1">
        <v>173640</v>
      </c>
    </row>
    <row r="2335" spans="1:7" x14ac:dyDescent="0.25">
      <c r="A2335" s="1" t="s">
        <v>2551</v>
      </c>
      <c r="B2335" s="2" t="str">
        <f>HYPERLINK("https://www.elsevier.com/locate/issn/1615-9071", "Osteopathische Medizin")</f>
        <v>Osteopathische Medizin</v>
      </c>
      <c r="C2335" s="1" t="s">
        <v>10</v>
      </c>
      <c r="D2335" s="1">
        <v>2510</v>
      </c>
      <c r="E2335" s="1">
        <v>2350</v>
      </c>
      <c r="F2335" s="1">
        <v>2010</v>
      </c>
      <c r="G2335" s="1">
        <v>311320</v>
      </c>
    </row>
    <row r="2336" spans="1:7" x14ac:dyDescent="0.25">
      <c r="A2336" s="1" t="s">
        <v>2552</v>
      </c>
      <c r="B2336" s="2" t="str">
        <f>HYPERLINK("https://www.elsevier.com/locate/issn/2405-5255", "Osteoporosis and Sarcopenia")</f>
        <v>Osteoporosis and Sarcopenia</v>
      </c>
      <c r="C2336" s="1" t="s">
        <v>34</v>
      </c>
      <c r="D2336" s="1" t="s">
        <v>324</v>
      </c>
      <c r="E2336" s="1" t="s">
        <v>324</v>
      </c>
      <c r="F2336" s="1" t="s">
        <v>324</v>
      </c>
      <c r="G2336" s="1" t="s">
        <v>324</v>
      </c>
    </row>
    <row r="2337" spans="1:7" x14ac:dyDescent="0.25">
      <c r="A2337" s="1" t="s">
        <v>2553</v>
      </c>
      <c r="B2337" s="2" t="str">
        <f>HYPERLINK("https://www.elsevier.com/locate/issn/2468-5488", "Otolaryngology Case Reports")</f>
        <v>Otolaryngology Case Reports</v>
      </c>
      <c r="C2337" s="1" t="s">
        <v>23</v>
      </c>
      <c r="D2337" s="1">
        <v>1180</v>
      </c>
      <c r="E2337" s="1">
        <v>1100</v>
      </c>
      <c r="F2337" s="1">
        <v>940</v>
      </c>
      <c r="G2337" s="1">
        <v>146360</v>
      </c>
    </row>
    <row r="2338" spans="1:7" x14ac:dyDescent="0.25">
      <c r="A2338" s="1" t="s">
        <v>2554</v>
      </c>
      <c r="B2338" s="2" t="str">
        <f>HYPERLINK("https://www.elsevier.com/locate/issn/0927-538X", "Pacific-Basin Finance Journal")</f>
        <v>Pacific-Basin Finance Journal</v>
      </c>
      <c r="C2338" s="1" t="s">
        <v>10</v>
      </c>
      <c r="D2338" s="1">
        <v>3090</v>
      </c>
      <c r="E2338" s="1">
        <v>2890</v>
      </c>
      <c r="F2338" s="1">
        <v>2470</v>
      </c>
      <c r="G2338" s="1">
        <v>383250</v>
      </c>
    </row>
    <row r="2339" spans="1:7" x14ac:dyDescent="0.25">
      <c r="A2339" s="1" t="s">
        <v>2555</v>
      </c>
      <c r="B2339" s="2" t="str">
        <f>HYPERLINK("https://www.elsevier.com/locate/issn/1526-0542", "Paediatric Respiratory Reviews")</f>
        <v>Paediatric Respiratory Reviews</v>
      </c>
      <c r="C2339" s="1" t="s">
        <v>10</v>
      </c>
      <c r="D2339" s="1">
        <v>5030</v>
      </c>
      <c r="E2339" s="1">
        <v>4710</v>
      </c>
      <c r="F2339" s="1">
        <v>4030</v>
      </c>
      <c r="G2339" s="1">
        <v>623870</v>
      </c>
    </row>
    <row r="2340" spans="1:7" x14ac:dyDescent="0.25">
      <c r="A2340" s="1" t="s">
        <v>2556</v>
      </c>
      <c r="B2340" s="2" t="str">
        <f>HYPERLINK("https://www.elsevier.com/locate/issn/1524-9042", "Pain Management Nursing")</f>
        <v>Pain Management Nursing</v>
      </c>
      <c r="C2340" s="1" t="s">
        <v>10</v>
      </c>
      <c r="D2340" s="1">
        <v>3350</v>
      </c>
      <c r="E2340" s="1">
        <v>3130</v>
      </c>
      <c r="F2340" s="1">
        <v>2680</v>
      </c>
      <c r="G2340" s="1">
        <v>415500</v>
      </c>
    </row>
    <row r="2341" spans="1:7" x14ac:dyDescent="0.25">
      <c r="A2341" s="1" t="s">
        <v>2557</v>
      </c>
      <c r="B2341" s="2" t="str">
        <f>HYPERLINK("https://www.elsevier.com/locate/issn/1871-174X", "Palaeoworld")</f>
        <v>Palaeoworld</v>
      </c>
      <c r="C2341" s="1" t="s">
        <v>10</v>
      </c>
      <c r="D2341" s="1">
        <v>3000</v>
      </c>
      <c r="E2341" s="1">
        <v>2810</v>
      </c>
      <c r="F2341" s="1">
        <v>2400</v>
      </c>
      <c r="G2341" s="1">
        <v>372090</v>
      </c>
    </row>
    <row r="2342" spans="1:7" x14ac:dyDescent="0.25">
      <c r="A2342" s="1" t="s">
        <v>2558</v>
      </c>
      <c r="B2342" s="2" t="str">
        <f>HYPERLINK("https://www.elsevier.com/locate/issn/1424-3903", "Pancreatology")</f>
        <v>Pancreatology</v>
      </c>
      <c r="C2342" s="1" t="s">
        <v>10</v>
      </c>
      <c r="D2342" s="1">
        <v>4000</v>
      </c>
      <c r="E2342" s="1">
        <v>3740</v>
      </c>
      <c r="F2342" s="1">
        <v>3200</v>
      </c>
      <c r="G2342" s="1">
        <v>496120</v>
      </c>
    </row>
    <row r="2343" spans="1:7" x14ac:dyDescent="0.25">
      <c r="A2343" s="1" t="s">
        <v>2559</v>
      </c>
      <c r="B2343" s="2" t="str">
        <f>HYPERLINK("https://www.elsevier.com/locate/issn/1056-8190", "Papers in Regional Science")</f>
        <v>Papers in Regional Science</v>
      </c>
      <c r="C2343" s="1" t="s">
        <v>23</v>
      </c>
      <c r="D2343" s="1">
        <v>2740</v>
      </c>
      <c r="E2343" s="1">
        <v>2500</v>
      </c>
      <c r="F2343" s="1">
        <v>2190</v>
      </c>
      <c r="G2343" s="1">
        <v>339840</v>
      </c>
    </row>
    <row r="2344" spans="1:7" x14ac:dyDescent="0.25">
      <c r="A2344" s="1" t="s">
        <v>2560</v>
      </c>
      <c r="B2344" s="2" t="str">
        <f>HYPERLINK("https://www.elsevier.com/locate/issn/0167-8191", "Parallel Computing")</f>
        <v>Parallel Computing</v>
      </c>
      <c r="C2344" s="1" t="s">
        <v>10</v>
      </c>
      <c r="D2344" s="1">
        <v>2870</v>
      </c>
      <c r="E2344" s="1">
        <v>2680</v>
      </c>
      <c r="F2344" s="1">
        <v>2300</v>
      </c>
      <c r="G2344" s="1">
        <v>355970</v>
      </c>
    </row>
    <row r="2345" spans="1:7" x14ac:dyDescent="0.25">
      <c r="A2345" s="1" t="s">
        <v>2561</v>
      </c>
      <c r="B2345" s="2" t="str">
        <f>HYPERLINK("https://www.elsevier.com/locate/issn/2405-6731", "Parasite Epidemiology and Control")</f>
        <v>Parasite Epidemiology and Control</v>
      </c>
      <c r="C2345" s="1" t="s">
        <v>23</v>
      </c>
      <c r="D2345" s="1">
        <v>1800</v>
      </c>
      <c r="E2345" s="1">
        <v>1680</v>
      </c>
      <c r="F2345" s="1">
        <v>1440</v>
      </c>
      <c r="G2345" s="1">
        <v>223250</v>
      </c>
    </row>
    <row r="2346" spans="1:7" x14ac:dyDescent="0.25">
      <c r="A2346" s="1" t="s">
        <v>2562</v>
      </c>
      <c r="B2346" s="2" t="str">
        <f>HYPERLINK("https://www.elsevier.com/locate/issn/1383-5769", "Parasitology International")</f>
        <v>Parasitology International</v>
      </c>
      <c r="C2346" s="1" t="s">
        <v>10</v>
      </c>
      <c r="D2346" s="1">
        <v>3450</v>
      </c>
      <c r="E2346" s="1">
        <v>3230</v>
      </c>
      <c r="F2346" s="1">
        <v>2760</v>
      </c>
      <c r="G2346" s="1">
        <v>427900</v>
      </c>
    </row>
    <row r="2347" spans="1:7" x14ac:dyDescent="0.25">
      <c r="A2347" s="1" t="s">
        <v>2563</v>
      </c>
      <c r="B2347" s="2" t="str">
        <f>HYPERLINK("https://www.elsevier.com/locate/issn/1353-8020", "Parkinsonism &amp; Related Disorders")</f>
        <v>Parkinsonism &amp; Related Disorders</v>
      </c>
      <c r="C2347" s="1" t="s">
        <v>10</v>
      </c>
      <c r="D2347" s="1">
        <v>3460</v>
      </c>
      <c r="E2347" s="1">
        <v>3240</v>
      </c>
      <c r="F2347" s="1">
        <v>2770</v>
      </c>
      <c r="G2347" s="1">
        <v>429140</v>
      </c>
    </row>
    <row r="2348" spans="1:7" x14ac:dyDescent="0.25">
      <c r="A2348" s="1" t="s">
        <v>2564</v>
      </c>
      <c r="B2348" s="2" t="str">
        <f>HYPERLINK("https://www.elsevier.com/locate/issn/2666-8181", "Partial Differential Equations in Applied Mathematics")</f>
        <v>Partial Differential Equations in Applied Mathematics</v>
      </c>
      <c r="C2348" s="1" t="s">
        <v>23</v>
      </c>
      <c r="D2348" s="1">
        <v>1470</v>
      </c>
      <c r="E2348" s="1">
        <v>1380</v>
      </c>
      <c r="F2348" s="1">
        <v>1180</v>
      </c>
      <c r="G2348" s="1">
        <v>182320</v>
      </c>
    </row>
    <row r="2349" spans="1:7" x14ac:dyDescent="0.25">
      <c r="A2349" s="1" t="s">
        <v>2565</v>
      </c>
      <c r="B2349" s="2" t="str">
        <f>HYPERLINK("https://www.elsevier.com/locate/issn/1674-2001", "Particuology")</f>
        <v>Particuology</v>
      </c>
      <c r="C2349" s="1" t="s">
        <v>10</v>
      </c>
      <c r="D2349" s="1">
        <v>3090</v>
      </c>
      <c r="E2349" s="1">
        <v>2890</v>
      </c>
      <c r="F2349" s="1">
        <v>2470</v>
      </c>
      <c r="G2349" s="1">
        <v>383250</v>
      </c>
    </row>
    <row r="2350" spans="1:7" x14ac:dyDescent="0.25">
      <c r="A2350" s="1" t="s">
        <v>2566</v>
      </c>
      <c r="B2350" s="2" t="str">
        <f>HYPERLINK("https://www.elsevier.com/locate/issn/0031-3025", "Pathology")</f>
        <v>Pathology</v>
      </c>
      <c r="C2350" s="1" t="s">
        <v>10</v>
      </c>
      <c r="D2350" s="1">
        <v>3800</v>
      </c>
      <c r="E2350" s="1">
        <v>3550</v>
      </c>
      <c r="F2350" s="1">
        <v>3040</v>
      </c>
      <c r="G2350" s="1">
        <v>471310</v>
      </c>
    </row>
    <row r="2351" spans="1:7" x14ac:dyDescent="0.25">
      <c r="A2351" s="1" t="s">
        <v>2567</v>
      </c>
      <c r="B2351" s="2" t="str">
        <f>HYPERLINK("https://www.elsevier.com/locate/issn/0344-0338", "Pathology - Research and Practice")</f>
        <v>Pathology - Research and Practice</v>
      </c>
      <c r="C2351" s="1" t="s">
        <v>10</v>
      </c>
      <c r="D2351" s="1">
        <v>2780</v>
      </c>
      <c r="E2351" s="1">
        <v>2600</v>
      </c>
      <c r="F2351" s="1">
        <v>2230</v>
      </c>
      <c r="G2351" s="1">
        <v>344800</v>
      </c>
    </row>
    <row r="2352" spans="1:7" x14ac:dyDescent="0.25">
      <c r="A2352" s="1" t="s">
        <v>2568</v>
      </c>
      <c r="B2352" s="2" t="str">
        <f>HYPERLINK("https://www.elsevier.com/locate/issn/0738-3991", "Patient Education and Counseling")</f>
        <v>Patient Education and Counseling</v>
      </c>
      <c r="C2352" s="1" t="s">
        <v>10</v>
      </c>
      <c r="D2352" s="1">
        <v>3830</v>
      </c>
      <c r="E2352" s="1">
        <v>3580</v>
      </c>
      <c r="F2352" s="1">
        <v>3070</v>
      </c>
      <c r="G2352" s="1">
        <v>475030</v>
      </c>
    </row>
    <row r="2353" spans="1:7" x14ac:dyDescent="0.25">
      <c r="A2353" s="1" t="s">
        <v>2569</v>
      </c>
      <c r="B2353" s="2" t="str">
        <f>HYPERLINK("https://www.elsevier.com/locate/issn/0031-3203", "Pattern Recognition")</f>
        <v>Pattern Recognition</v>
      </c>
      <c r="C2353" s="1" t="s">
        <v>10</v>
      </c>
      <c r="D2353" s="1">
        <v>2590</v>
      </c>
      <c r="E2353" s="1">
        <v>2420</v>
      </c>
      <c r="F2353" s="1">
        <v>2070</v>
      </c>
      <c r="G2353" s="1">
        <v>321240</v>
      </c>
    </row>
    <row r="2354" spans="1:7" x14ac:dyDescent="0.25">
      <c r="A2354" s="1" t="s">
        <v>2570</v>
      </c>
      <c r="B2354" s="2" t="str">
        <f>HYPERLINK("https://www.elsevier.com/locate/issn/0167-8655", "Pattern Recognition Letters")</f>
        <v>Pattern Recognition Letters</v>
      </c>
      <c r="C2354" s="1" t="s">
        <v>10</v>
      </c>
      <c r="D2354" s="1">
        <v>2500</v>
      </c>
      <c r="E2354" s="1">
        <v>2340</v>
      </c>
      <c r="F2354" s="1">
        <v>2000</v>
      </c>
      <c r="G2354" s="1">
        <v>310080</v>
      </c>
    </row>
    <row r="2355" spans="1:7" x14ac:dyDescent="0.25">
      <c r="A2355" s="1" t="s">
        <v>2571</v>
      </c>
      <c r="B2355" s="2" t="str">
        <f>HYPERLINK("https://www.elsevier.com/locate/issn/2666-3899", "Patterns")</f>
        <v>Patterns</v>
      </c>
      <c r="C2355" s="1" t="s">
        <v>23</v>
      </c>
      <c r="D2355" s="1">
        <v>4900</v>
      </c>
      <c r="E2355" s="1">
        <v>4540</v>
      </c>
      <c r="F2355" s="1">
        <v>3920</v>
      </c>
      <c r="G2355" s="1">
        <v>607750</v>
      </c>
    </row>
    <row r="2356" spans="1:7" x14ac:dyDescent="0.25">
      <c r="A2356" s="1" t="s">
        <v>2572</v>
      </c>
      <c r="B2356" s="2" t="str">
        <f>HYPERLINK("https://www.elsevier.com/locate/issn/2950-6425", "Peace and Sustainability")</f>
        <v>Peace and Sustainability</v>
      </c>
      <c r="C2356" s="1" t="s">
        <v>10</v>
      </c>
      <c r="D2356" s="1">
        <v>3200</v>
      </c>
      <c r="E2356" s="1">
        <v>2990</v>
      </c>
      <c r="F2356" s="1">
        <v>2560</v>
      </c>
      <c r="G2356" s="1">
        <v>396900</v>
      </c>
    </row>
    <row r="2357" spans="1:7" x14ac:dyDescent="0.25">
      <c r="A2357" s="1" t="s">
        <v>2573</v>
      </c>
      <c r="B2357" s="2" t="str">
        <f>HYPERLINK("https://www.elsevier.com/locate/issn/2772-6282", "PEC Innovation")</f>
        <v>PEC Innovation</v>
      </c>
      <c r="C2357" s="1" t="s">
        <v>23</v>
      </c>
      <c r="D2357" s="1">
        <v>1790</v>
      </c>
      <c r="E2357" s="1">
        <v>1670</v>
      </c>
      <c r="F2357" s="1">
        <v>1430</v>
      </c>
      <c r="G2357" s="1">
        <v>222010</v>
      </c>
    </row>
    <row r="2358" spans="1:7" x14ac:dyDescent="0.25">
      <c r="A2358" s="1" t="s">
        <v>2574</v>
      </c>
      <c r="B2358" s="2" t="str">
        <f>HYPERLINK("https://www.elsevier.com/locate/issn/0917-2394", "Pediatric Dental Journal")</f>
        <v>Pediatric Dental Journal</v>
      </c>
      <c r="C2358" s="1" t="s">
        <v>10</v>
      </c>
      <c r="D2358" s="1">
        <v>2550</v>
      </c>
      <c r="E2358" s="1">
        <v>2390</v>
      </c>
      <c r="F2358" s="1">
        <v>2040</v>
      </c>
      <c r="G2358" s="1">
        <v>316280</v>
      </c>
    </row>
    <row r="2359" spans="1:7" x14ac:dyDescent="0.25">
      <c r="A2359" s="1" t="s">
        <v>2575</v>
      </c>
      <c r="B2359" s="2" t="str">
        <f>HYPERLINK("https://www.elsevier.com/locate/issn/2468-1245", "Pediatric Hematology Oncology Journal")</f>
        <v>Pediatric Hematology Oncology Journal</v>
      </c>
      <c r="C2359" s="1" t="s">
        <v>23</v>
      </c>
      <c r="D2359" s="1">
        <v>600</v>
      </c>
      <c r="E2359" s="1">
        <v>560</v>
      </c>
      <c r="F2359" s="1">
        <v>480</v>
      </c>
      <c r="G2359" s="1">
        <v>74420</v>
      </c>
    </row>
    <row r="2360" spans="1:7" x14ac:dyDescent="0.25">
      <c r="A2360" s="1" t="s">
        <v>2576</v>
      </c>
      <c r="B2360" s="2" t="str">
        <f>HYPERLINK("https://www.elsevier.com/locate/issn/0887-8994", "Pediatric Neurology")</f>
        <v>Pediatric Neurology</v>
      </c>
      <c r="C2360" s="1" t="s">
        <v>10</v>
      </c>
      <c r="D2360" s="1">
        <v>3520</v>
      </c>
      <c r="E2360" s="1">
        <v>3290</v>
      </c>
      <c r="F2360" s="1">
        <v>2820</v>
      </c>
      <c r="G2360" s="1">
        <v>436590</v>
      </c>
    </row>
    <row r="2361" spans="1:7" x14ac:dyDescent="0.25">
      <c r="A2361" s="1" t="s">
        <v>2577</v>
      </c>
      <c r="B2361" s="2" t="str">
        <f>HYPERLINK("https://www.elsevier.com/locate/issn/1875-9572", "Pediatrics &amp; Neonatology")</f>
        <v>Pediatrics &amp; Neonatology</v>
      </c>
      <c r="C2361" s="1" t="s">
        <v>34</v>
      </c>
      <c r="D2361" s="1" t="s">
        <v>324</v>
      </c>
      <c r="E2361" s="1" t="s">
        <v>324</v>
      </c>
      <c r="F2361" s="1" t="s">
        <v>324</v>
      </c>
      <c r="G2361" s="1" t="s">
        <v>324</v>
      </c>
    </row>
    <row r="2362" spans="1:7" x14ac:dyDescent="0.25">
      <c r="A2362" s="1" t="s">
        <v>2578</v>
      </c>
      <c r="B2362" s="2" t="str">
        <f>HYPERLINK("https://www.elsevier.com/locate/issn/0031-4056", "Pedobiologia")</f>
        <v>Pedobiologia</v>
      </c>
      <c r="C2362" s="1" t="s">
        <v>10</v>
      </c>
      <c r="D2362" s="1">
        <v>3260</v>
      </c>
      <c r="E2362" s="1">
        <v>3050</v>
      </c>
      <c r="F2362" s="1">
        <v>2610</v>
      </c>
      <c r="G2362" s="1">
        <v>404340</v>
      </c>
    </row>
    <row r="2363" spans="1:7" x14ac:dyDescent="0.25">
      <c r="A2363" s="1" t="s">
        <v>2579</v>
      </c>
      <c r="B2363" s="2" t="str">
        <f>HYPERLINK("https://www.elsevier.com/locate/issn/0196-9781", "Peptides")</f>
        <v>Peptides</v>
      </c>
      <c r="C2363" s="1" t="s">
        <v>10</v>
      </c>
      <c r="D2363" s="1">
        <v>3710</v>
      </c>
      <c r="E2363" s="1">
        <v>3470</v>
      </c>
      <c r="F2363" s="1">
        <v>2970</v>
      </c>
      <c r="G2363" s="1">
        <v>460150</v>
      </c>
    </row>
    <row r="2364" spans="1:7" x14ac:dyDescent="0.25">
      <c r="A2364" s="1" t="s">
        <v>2580</v>
      </c>
      <c r="B2364" s="2" t="str">
        <f>HYPERLINK("https://www.elsevier.com/locate/issn/2588-932X", "Perfectionnement en Pédiatrie")</f>
        <v>Perfectionnement en Pédiatrie</v>
      </c>
      <c r="C2364" s="1" t="s">
        <v>10</v>
      </c>
      <c r="D2364" s="1">
        <v>2500</v>
      </c>
      <c r="E2364" s="1">
        <v>2340</v>
      </c>
      <c r="F2364" s="1">
        <v>2000</v>
      </c>
      <c r="G2364" s="1">
        <v>310080</v>
      </c>
    </row>
    <row r="2365" spans="1:7" x14ac:dyDescent="0.25">
      <c r="A2365" s="1" t="s">
        <v>2581</v>
      </c>
      <c r="B2365" s="2" t="str">
        <f>HYPERLINK("https://www.elsevier.com/locate/issn/2211-2669", "Performance Enhancement &amp; Health")</f>
        <v>Performance Enhancement &amp; Health</v>
      </c>
      <c r="C2365" s="1" t="s">
        <v>10</v>
      </c>
      <c r="D2365" s="1">
        <v>3480</v>
      </c>
      <c r="E2365" s="1">
        <v>3260</v>
      </c>
      <c r="F2365" s="1">
        <v>2790</v>
      </c>
      <c r="G2365" s="1">
        <v>431620</v>
      </c>
    </row>
    <row r="2366" spans="1:7" x14ac:dyDescent="0.25">
      <c r="A2366" s="1" t="s">
        <v>2582</v>
      </c>
      <c r="B2366" s="2" t="str">
        <f>HYPERLINK("https://www.elsevier.com/locate/issn/0166-5316", "Performance Evaluation")</f>
        <v>Performance Evaluation</v>
      </c>
      <c r="C2366" s="1" t="s">
        <v>10</v>
      </c>
      <c r="D2366" s="1">
        <v>2540</v>
      </c>
      <c r="E2366" s="1">
        <v>2380</v>
      </c>
      <c r="F2366" s="1">
        <v>2030</v>
      </c>
      <c r="G2366" s="1">
        <v>315040</v>
      </c>
    </row>
    <row r="2367" spans="1:7" x14ac:dyDescent="0.25">
      <c r="A2367" s="1" t="s">
        <v>2583</v>
      </c>
      <c r="B2367" s="2" t="str">
        <f>HYPERLINK("https://www.elsevier.com/locate/issn/2405-6030", "Perioperative Care and Operating Room Management")</f>
        <v>Perioperative Care and Operating Room Management</v>
      </c>
      <c r="C2367" s="1" t="s">
        <v>10</v>
      </c>
      <c r="D2367" s="1">
        <v>2640</v>
      </c>
      <c r="E2367" s="1">
        <v>2540</v>
      </c>
      <c r="F2367" s="1">
        <v>2180</v>
      </c>
      <c r="G2367" s="1">
        <v>337360</v>
      </c>
    </row>
    <row r="2368" spans="1:7" x14ac:dyDescent="0.25">
      <c r="A2368" s="1" t="s">
        <v>2584</v>
      </c>
      <c r="B2368" s="2" t="str">
        <f>HYPERLINK("https://www.elsevier.com/locate/issn/0191-8869", "Personality and Individual Differences")</f>
        <v>Personality and Individual Differences</v>
      </c>
      <c r="C2368" s="1" t="s">
        <v>10</v>
      </c>
      <c r="D2368" s="1">
        <v>4170</v>
      </c>
      <c r="E2368" s="1">
        <v>3900</v>
      </c>
      <c r="F2368" s="1">
        <v>3340</v>
      </c>
      <c r="G2368" s="1">
        <v>517210</v>
      </c>
    </row>
    <row r="2369" spans="1:7" x14ac:dyDescent="0.25">
      <c r="A2369" s="1" t="s">
        <v>2585</v>
      </c>
      <c r="B2369" s="2" t="str">
        <f>HYPERLINK("https://www.elsevier.com/locate/issn/2468-1717", "Personalized Medicine in Psychiatry")</f>
        <v>Personalized Medicine in Psychiatry</v>
      </c>
      <c r="C2369" s="1" t="s">
        <v>10</v>
      </c>
      <c r="D2369" s="1">
        <v>2750</v>
      </c>
      <c r="E2369" s="1">
        <v>2570</v>
      </c>
      <c r="F2369" s="1">
        <v>2200</v>
      </c>
      <c r="G2369" s="1">
        <v>341080</v>
      </c>
    </row>
    <row r="2370" spans="1:7" x14ac:dyDescent="0.25">
      <c r="A2370" s="1" t="s">
        <v>2586</v>
      </c>
      <c r="B2370" s="2" t="str">
        <f>HYPERLINK("https://www.elsevier.com/locate/issn/2950-2675", "Perspectives in Architecture and Urbanism")</f>
        <v>Perspectives in Architecture and Urbanism</v>
      </c>
      <c r="C2370" s="1" t="s">
        <v>34</v>
      </c>
      <c r="D2370" s="1" t="s">
        <v>324</v>
      </c>
      <c r="E2370" s="1" t="s">
        <v>324</v>
      </c>
      <c r="F2370" s="1" t="s">
        <v>324</v>
      </c>
      <c r="G2370" s="1" t="s">
        <v>324</v>
      </c>
    </row>
    <row r="2371" spans="1:7" x14ac:dyDescent="0.25">
      <c r="A2371" s="1" t="s">
        <v>2587</v>
      </c>
      <c r="B2371" s="2" t="str">
        <f>HYPERLINK("https://www.elsevier.com/locate/issn/2530-0644", "Perspectives in Ecology and Conservation")</f>
        <v>Perspectives in Ecology and Conservation</v>
      </c>
      <c r="C2371" s="1" t="s">
        <v>34</v>
      </c>
      <c r="D2371" s="1" t="s">
        <v>324</v>
      </c>
      <c r="E2371" s="1" t="s">
        <v>324</v>
      </c>
      <c r="F2371" s="1" t="s">
        <v>324</v>
      </c>
      <c r="G2371" s="1" t="s">
        <v>324</v>
      </c>
    </row>
    <row r="2372" spans="1:7" x14ac:dyDescent="0.25">
      <c r="A2372" s="1" t="s">
        <v>2588</v>
      </c>
      <c r="B2372" s="2" t="str">
        <f>HYPERLINK("https://www.elsevier.com/locate/issn/1574-1192", "Pervasive and Mobile Computing")</f>
        <v>Pervasive and Mobile Computing</v>
      </c>
      <c r="C2372" s="1" t="s">
        <v>10</v>
      </c>
      <c r="D2372" s="1">
        <v>2620</v>
      </c>
      <c r="E2372" s="1">
        <v>2450</v>
      </c>
      <c r="F2372" s="1">
        <v>2100</v>
      </c>
      <c r="G2372" s="1">
        <v>324960</v>
      </c>
    </row>
    <row r="2373" spans="1:7" x14ac:dyDescent="0.25">
      <c r="A2373" s="1" t="s">
        <v>2589</v>
      </c>
      <c r="B2373" s="2" t="str">
        <f>HYPERLINK("https://www.elsevier.com/locate/issn/0048-3575", "Pesticide Biochemistry and Physiology")</f>
        <v>Pesticide Biochemistry and Physiology</v>
      </c>
      <c r="C2373" s="1" t="s">
        <v>10</v>
      </c>
      <c r="D2373" s="1">
        <v>4350</v>
      </c>
      <c r="E2373" s="1">
        <v>4070</v>
      </c>
      <c r="F2373" s="1">
        <v>3480</v>
      </c>
      <c r="G2373" s="1">
        <v>539530</v>
      </c>
    </row>
    <row r="2374" spans="1:7" x14ac:dyDescent="0.25">
      <c r="A2374" s="1" t="s">
        <v>2590</v>
      </c>
      <c r="B2374" s="2" t="str">
        <f>HYPERLINK("https://www.elsevier.com/locate/issn/2405-6561", "Petroleum")</f>
        <v>Petroleum</v>
      </c>
      <c r="C2374" s="1" t="s">
        <v>34</v>
      </c>
      <c r="D2374" s="1" t="s">
        <v>324</v>
      </c>
      <c r="E2374" s="1" t="s">
        <v>324</v>
      </c>
      <c r="F2374" s="1" t="s">
        <v>324</v>
      </c>
      <c r="G2374" s="1" t="s">
        <v>324</v>
      </c>
    </row>
    <row r="2375" spans="1:7" x14ac:dyDescent="0.25">
      <c r="A2375" s="1" t="s">
        <v>2591</v>
      </c>
      <c r="B2375" s="2" t="str">
        <f>HYPERLINK("https://www.elsevier.com/locate/issn/1876-3804", "Petroleum Exploration and Development")</f>
        <v>Petroleum Exploration and Development</v>
      </c>
      <c r="C2375" s="1" t="s">
        <v>34</v>
      </c>
      <c r="D2375" s="1" t="s">
        <v>324</v>
      </c>
      <c r="E2375" s="1" t="s">
        <v>324</v>
      </c>
      <c r="F2375" s="1" t="s">
        <v>324</v>
      </c>
      <c r="G2375" s="1" t="s">
        <v>324</v>
      </c>
    </row>
    <row r="2376" spans="1:7" x14ac:dyDescent="0.25">
      <c r="A2376" s="1" t="s">
        <v>2592</v>
      </c>
      <c r="B2376" s="2" t="str">
        <f>HYPERLINK("https://www.elsevier.com/locate/issn/2096-2495", "Petroleum Research")</f>
        <v>Petroleum Research</v>
      </c>
      <c r="C2376" s="1" t="s">
        <v>34</v>
      </c>
      <c r="D2376" s="1" t="s">
        <v>324</v>
      </c>
      <c r="E2376" s="1" t="s">
        <v>324</v>
      </c>
      <c r="F2376" s="1" t="s">
        <v>324</v>
      </c>
      <c r="G2376" s="1" t="s">
        <v>324</v>
      </c>
    </row>
    <row r="2377" spans="1:7" x14ac:dyDescent="0.25">
      <c r="A2377" s="1" t="s">
        <v>2593</v>
      </c>
      <c r="B2377" s="2" t="str">
        <f>HYPERLINK("https://www.elsevier.com/locate/issn/1995-8226", "Petroleum Science")</f>
        <v>Petroleum Science</v>
      </c>
      <c r="C2377" s="1" t="s">
        <v>34</v>
      </c>
      <c r="D2377" s="1" t="s">
        <v>324</v>
      </c>
      <c r="E2377" s="1" t="s">
        <v>324</v>
      </c>
      <c r="F2377" s="1" t="s">
        <v>324</v>
      </c>
      <c r="G2377" s="1" t="s">
        <v>324</v>
      </c>
    </row>
    <row r="2378" spans="1:7" x14ac:dyDescent="0.25">
      <c r="A2378" s="1" t="s">
        <v>2594</v>
      </c>
      <c r="B2378" s="2" t="str">
        <f>HYPERLINK("https://www.elsevier.com/locate/issn/2773-2169", "Pharmaceutical Science Advances")</f>
        <v>Pharmaceutical Science Advances</v>
      </c>
      <c r="C2378" s="1" t="s">
        <v>23</v>
      </c>
      <c r="D2378" s="1">
        <v>2000</v>
      </c>
      <c r="E2378" s="1">
        <v>1870</v>
      </c>
      <c r="F2378" s="1">
        <v>1600</v>
      </c>
      <c r="G2378" s="1">
        <v>248060</v>
      </c>
    </row>
    <row r="2379" spans="1:7" x14ac:dyDescent="0.25">
      <c r="A2379" s="1" t="s">
        <v>2595</v>
      </c>
      <c r="B2379" s="2" t="str">
        <f>HYPERLINK("https://www.elsevier.com/locate/issn/2950-2667", "Pharmacoeconomics and Policy")</f>
        <v>Pharmacoeconomics and Policy</v>
      </c>
      <c r="C2379" s="1" t="s">
        <v>34</v>
      </c>
      <c r="D2379" s="1" t="s">
        <v>324</v>
      </c>
      <c r="E2379" s="1" t="s">
        <v>324</v>
      </c>
      <c r="F2379" s="1" t="s">
        <v>324</v>
      </c>
      <c r="G2379" s="1" t="s">
        <v>324</v>
      </c>
    </row>
    <row r="2380" spans="1:7" x14ac:dyDescent="0.25">
      <c r="A2380" s="1" t="s">
        <v>2596</v>
      </c>
      <c r="B2380" s="2" t="str">
        <f>HYPERLINK("https://www.elsevier.com/locate/issn/1043-6618", "Pharmacological Research")</f>
        <v>Pharmacological Research</v>
      </c>
      <c r="C2380" s="1" t="s">
        <v>23</v>
      </c>
      <c r="D2380" s="1">
        <v>4130</v>
      </c>
      <c r="E2380" s="1">
        <v>3860</v>
      </c>
      <c r="F2380" s="1">
        <v>3310</v>
      </c>
      <c r="G2380" s="1">
        <v>512240</v>
      </c>
    </row>
    <row r="2381" spans="1:7" x14ac:dyDescent="0.25">
      <c r="A2381" s="1" t="s">
        <v>2597</v>
      </c>
      <c r="B2381" s="2" t="str">
        <f>HYPERLINK("https://www.elsevier.com/locate/issn/2667-1425", "Pharmacological Research - Modern Chinese Medicine")</f>
        <v>Pharmacological Research - Modern Chinese Medicine</v>
      </c>
      <c r="C2381" s="1" t="s">
        <v>23</v>
      </c>
      <c r="D2381" s="1">
        <v>1550</v>
      </c>
      <c r="E2381" s="1">
        <v>1450</v>
      </c>
      <c r="F2381" s="1">
        <v>1240</v>
      </c>
      <c r="G2381" s="1">
        <v>192250</v>
      </c>
    </row>
    <row r="2382" spans="1:7" x14ac:dyDescent="0.25">
      <c r="A2382" s="1" t="s">
        <v>2598</v>
      </c>
      <c r="B2382" s="2" t="str">
        <f>HYPERLINK("https://www.elsevier.com/locate/issn/2950-1997", "Pharmacological Research - Natural Products")</f>
        <v>Pharmacological Research - Natural Products</v>
      </c>
      <c r="C2382" s="1" t="s">
        <v>10</v>
      </c>
      <c r="D2382" s="1">
        <v>2060</v>
      </c>
      <c r="E2382" s="1">
        <v>1930</v>
      </c>
      <c r="F2382" s="1">
        <v>1650</v>
      </c>
      <c r="G2382" s="1">
        <v>255500</v>
      </c>
    </row>
    <row r="2383" spans="1:7" x14ac:dyDescent="0.25">
      <c r="A2383" s="1" t="s">
        <v>2599</v>
      </c>
      <c r="B2383" s="2" t="str">
        <f>HYPERLINK("https://www.elsevier.com/locate/issn/2950-2004", "Pharmacological Research - Reports")</f>
        <v>Pharmacological Research - Reports</v>
      </c>
      <c r="C2383" s="1" t="s">
        <v>10</v>
      </c>
      <c r="D2383" s="1">
        <v>2000</v>
      </c>
      <c r="E2383" s="1">
        <v>1870</v>
      </c>
      <c r="F2383" s="1">
        <v>1600</v>
      </c>
      <c r="G2383" s="1">
        <v>248060</v>
      </c>
    </row>
    <row r="2384" spans="1:7" x14ac:dyDescent="0.25">
      <c r="A2384" s="1" t="s">
        <v>2600</v>
      </c>
      <c r="B2384" s="2" t="str">
        <f>HYPERLINK("https://www.elsevier.com/locate/issn/0031-6997", "Pharmacological Reviews")</f>
        <v>Pharmacological Reviews</v>
      </c>
      <c r="C2384" s="1" t="s">
        <v>10</v>
      </c>
      <c r="D2384" s="1">
        <v>4500</v>
      </c>
      <c r="E2384" s="1">
        <v>4210</v>
      </c>
      <c r="F2384" s="1">
        <v>3600</v>
      </c>
      <c r="G2384" s="1">
        <v>558140</v>
      </c>
    </row>
    <row r="2385" spans="1:7" x14ac:dyDescent="0.25">
      <c r="A2385" s="1" t="s">
        <v>2601</v>
      </c>
      <c r="B2385" s="2" t="str">
        <f>HYPERLINK("https://www.elsevier.com/locate/issn/0163-7258", "Pharmacology &amp; Therapeutics")</f>
        <v>Pharmacology &amp; Therapeutics</v>
      </c>
      <c r="C2385" s="1" t="s">
        <v>10</v>
      </c>
      <c r="D2385" s="1">
        <v>5660</v>
      </c>
      <c r="E2385" s="1">
        <v>5290</v>
      </c>
      <c r="F2385" s="1">
        <v>4530</v>
      </c>
      <c r="G2385" s="1">
        <v>702010</v>
      </c>
    </row>
    <row r="2386" spans="1:7" x14ac:dyDescent="0.25">
      <c r="A2386" s="1" t="s">
        <v>2602</v>
      </c>
      <c r="B2386" s="2" t="str">
        <f>HYPERLINK("https://www.elsevier.com/locate/issn/0091-3057", "Pharmacology Biochemistry and Behavior")</f>
        <v>Pharmacology Biochemistry and Behavior</v>
      </c>
      <c r="C2386" s="1" t="s">
        <v>10</v>
      </c>
      <c r="D2386" s="1">
        <v>3650</v>
      </c>
      <c r="E2386" s="1">
        <v>3410</v>
      </c>
      <c r="F2386" s="1">
        <v>2920</v>
      </c>
      <c r="G2386" s="1">
        <v>452710</v>
      </c>
    </row>
    <row r="2387" spans="1:7" x14ac:dyDescent="0.25">
      <c r="A2387" s="1" t="s">
        <v>2603</v>
      </c>
      <c r="B2387" s="2" t="str">
        <f>HYPERLINK("https://www.elsevier.com/locate/issn/2213-4344", "PharmaNutrition")</f>
        <v>PharmaNutrition</v>
      </c>
      <c r="C2387" s="1" t="s">
        <v>10</v>
      </c>
      <c r="D2387" s="1">
        <v>3300</v>
      </c>
      <c r="E2387" s="1">
        <v>3090</v>
      </c>
      <c r="F2387" s="1">
        <v>2640</v>
      </c>
      <c r="G2387" s="1">
        <v>409300</v>
      </c>
    </row>
    <row r="2388" spans="1:7" x14ac:dyDescent="0.25">
      <c r="A2388" s="1" t="s">
        <v>2604</v>
      </c>
      <c r="B2388" s="2" t="str">
        <f>HYPERLINK("https://www.elsevier.com/locate/issn/2213-5979", "Photoacoustics")</f>
        <v>Photoacoustics</v>
      </c>
      <c r="C2388" s="1" t="s">
        <v>23</v>
      </c>
      <c r="D2388" s="1">
        <v>3200</v>
      </c>
      <c r="E2388" s="1">
        <v>2990</v>
      </c>
      <c r="F2388" s="1">
        <v>2560</v>
      </c>
      <c r="G2388" s="1">
        <v>396900</v>
      </c>
    </row>
    <row r="2389" spans="1:7" x14ac:dyDescent="0.25">
      <c r="A2389" s="1" t="s">
        <v>2605</v>
      </c>
      <c r="B2389" s="2" t="str">
        <f>HYPERLINK("https://www.elsevier.com/locate/issn/1572-1000", "Photodiagnosis and Photodynamic Therapy")</f>
        <v>Photodiagnosis and Photodynamic Therapy</v>
      </c>
      <c r="C2389" s="1" t="s">
        <v>23</v>
      </c>
      <c r="D2389" s="1">
        <v>2610</v>
      </c>
      <c r="E2389" s="1">
        <v>2440</v>
      </c>
      <c r="F2389" s="1">
        <v>2090</v>
      </c>
      <c r="G2389" s="1">
        <v>323720</v>
      </c>
    </row>
    <row r="2390" spans="1:7" x14ac:dyDescent="0.25">
      <c r="A2390" s="1" t="s">
        <v>2606</v>
      </c>
      <c r="B2390" s="2" t="str">
        <f>HYPERLINK("https://www.elsevier.com/locate/issn/1569-4410", "Photonics and Nanostructures - Fundamentals and Applications")</f>
        <v>Photonics and Nanostructures - Fundamentals and Applications</v>
      </c>
      <c r="C2390" s="1" t="s">
        <v>10</v>
      </c>
      <c r="D2390" s="1">
        <v>2740</v>
      </c>
      <c r="E2390" s="1">
        <v>2560</v>
      </c>
      <c r="F2390" s="1">
        <v>2190</v>
      </c>
      <c r="G2390" s="1">
        <v>339840</v>
      </c>
    </row>
    <row r="2391" spans="1:7" x14ac:dyDescent="0.25">
      <c r="A2391" s="1" t="s">
        <v>2607</v>
      </c>
      <c r="B2391" s="2" t="str">
        <f>HYPERLINK("https://www.elsevier.com/locate/issn/0378-4371", "Physica A: Statistical Mechanics and its Applications")</f>
        <v>Physica A: Statistical Mechanics and its Applications</v>
      </c>
      <c r="C2391" s="1" t="s">
        <v>10</v>
      </c>
      <c r="D2391" s="1">
        <v>3550</v>
      </c>
      <c r="E2391" s="1">
        <v>3320</v>
      </c>
      <c r="F2391" s="1">
        <v>2840</v>
      </c>
      <c r="G2391" s="1">
        <v>440310</v>
      </c>
    </row>
    <row r="2392" spans="1:7" x14ac:dyDescent="0.25">
      <c r="A2392" s="1" t="s">
        <v>2608</v>
      </c>
      <c r="B2392" s="2" t="str">
        <f>HYPERLINK("https://www.elsevier.com/locate/issn/0921-4526", "Physica B: Condensed Matter")</f>
        <v>Physica B: Condensed Matter</v>
      </c>
      <c r="C2392" s="1" t="s">
        <v>10</v>
      </c>
      <c r="D2392" s="1">
        <v>3250</v>
      </c>
      <c r="E2392" s="1">
        <v>3040</v>
      </c>
      <c r="F2392" s="1">
        <v>2600</v>
      </c>
      <c r="G2392" s="1">
        <v>403100</v>
      </c>
    </row>
    <row r="2393" spans="1:7" x14ac:dyDescent="0.25">
      <c r="A2393" s="1" t="s">
        <v>2609</v>
      </c>
      <c r="B2393" s="2" t="str">
        <f>HYPERLINK("https://www.elsevier.com/locate/issn/0921-4534", "Physica C: Superconductivity and its Applications")</f>
        <v>Physica C: Superconductivity and its Applications</v>
      </c>
      <c r="C2393" s="1" t="s">
        <v>10</v>
      </c>
      <c r="D2393" s="1">
        <v>2400</v>
      </c>
      <c r="E2393" s="1">
        <v>2250</v>
      </c>
      <c r="F2393" s="1">
        <v>1920</v>
      </c>
      <c r="G2393" s="1">
        <v>297670</v>
      </c>
    </row>
    <row r="2394" spans="1:7" x14ac:dyDescent="0.25">
      <c r="A2394" s="1" t="s">
        <v>2610</v>
      </c>
      <c r="B2394" s="2" t="str">
        <f>HYPERLINK("https://www.elsevier.com/locate/issn/0167-2789", "Physica D: Nonlinear Phenomena")</f>
        <v>Physica D: Nonlinear Phenomena</v>
      </c>
      <c r="C2394" s="1" t="s">
        <v>10</v>
      </c>
      <c r="D2394" s="1">
        <v>3640</v>
      </c>
      <c r="E2394" s="1">
        <v>3410</v>
      </c>
      <c r="F2394" s="1">
        <v>2910</v>
      </c>
      <c r="G2394" s="1">
        <v>451470</v>
      </c>
    </row>
    <row r="2395" spans="1:7" x14ac:dyDescent="0.25">
      <c r="A2395" s="1" t="s">
        <v>2611</v>
      </c>
      <c r="B2395" s="2" t="str">
        <f>HYPERLINK("https://www.elsevier.com/locate/issn/1386-9477", "Physica E: Low-dimensional Systems and Nanostructures")</f>
        <v>Physica E: Low-dimensional Systems and Nanostructures</v>
      </c>
      <c r="C2395" s="1" t="s">
        <v>10</v>
      </c>
      <c r="D2395" s="1">
        <v>3640</v>
      </c>
      <c r="E2395" s="1">
        <v>3410</v>
      </c>
      <c r="F2395" s="1">
        <v>2910</v>
      </c>
      <c r="G2395" s="1">
        <v>451470</v>
      </c>
    </row>
    <row r="2396" spans="1:7" x14ac:dyDescent="0.25">
      <c r="A2396" s="1" t="s">
        <v>2612</v>
      </c>
      <c r="B2396" s="2" t="str">
        <f>HYPERLINK("https://www.elsevier.com/locate/issn/1120-1797", "Physica Medica")</f>
        <v>Physica Medica</v>
      </c>
      <c r="C2396" s="1" t="s">
        <v>10</v>
      </c>
      <c r="D2396" s="1">
        <v>2780</v>
      </c>
      <c r="E2396" s="1">
        <v>2600</v>
      </c>
      <c r="F2396" s="1">
        <v>2230</v>
      </c>
      <c r="G2396" s="1">
        <v>344800</v>
      </c>
    </row>
    <row r="2397" spans="1:7" x14ac:dyDescent="0.25">
      <c r="A2397" s="1" t="s">
        <v>2613</v>
      </c>
      <c r="B2397" s="2" t="str">
        <f>HYPERLINK("https://www.elsevier.com/locate/issn/1874-4907", "Physical Communication")</f>
        <v>Physical Communication</v>
      </c>
      <c r="C2397" s="1" t="s">
        <v>10</v>
      </c>
      <c r="D2397" s="1">
        <v>2450</v>
      </c>
      <c r="E2397" s="1">
        <v>2290</v>
      </c>
      <c r="F2397" s="1">
        <v>1960</v>
      </c>
      <c r="G2397" s="1">
        <v>303870</v>
      </c>
    </row>
    <row r="2398" spans="1:7" x14ac:dyDescent="0.25">
      <c r="A2398" s="1" t="s">
        <v>2614</v>
      </c>
      <c r="B2398" s="2" t="str">
        <f>HYPERLINK("https://www.elsevier.com/locate/issn/1466-853X", "Physical Therapy in Sport")</f>
        <v>Physical Therapy in Sport</v>
      </c>
      <c r="C2398" s="1" t="s">
        <v>10</v>
      </c>
      <c r="D2398" s="1">
        <v>2990</v>
      </c>
      <c r="E2398" s="1">
        <v>2800</v>
      </c>
      <c r="F2398" s="1">
        <v>2390</v>
      </c>
      <c r="G2398" s="1">
        <v>370850</v>
      </c>
    </row>
    <row r="2399" spans="1:7" x14ac:dyDescent="0.25">
      <c r="A2399" s="1" t="s">
        <v>2615</v>
      </c>
      <c r="B2399" s="2" t="str">
        <f>HYPERLINK("https://www.elsevier.com/locate/issn/2405-6316", "Physics and Imaging in Radiation Oncology")</f>
        <v>Physics and Imaging in Radiation Oncology</v>
      </c>
      <c r="C2399" s="1" t="s">
        <v>23</v>
      </c>
      <c r="D2399" s="1">
        <v>2080</v>
      </c>
      <c r="E2399" s="1">
        <v>1950</v>
      </c>
      <c r="F2399" s="1">
        <v>1670</v>
      </c>
      <c r="G2399" s="1">
        <v>257980</v>
      </c>
    </row>
    <row r="2400" spans="1:7" x14ac:dyDescent="0.25">
      <c r="A2400" s="1" t="s">
        <v>2616</v>
      </c>
      <c r="B2400" s="2" t="str">
        <f>HYPERLINK("https://www.elsevier.com/locate/issn/0375-9601", "Physics Letters A")</f>
        <v>Physics Letters A</v>
      </c>
      <c r="C2400" s="1" t="s">
        <v>10</v>
      </c>
      <c r="D2400" s="1">
        <v>2150</v>
      </c>
      <c r="E2400" s="1">
        <v>2010</v>
      </c>
      <c r="F2400" s="1">
        <v>1720</v>
      </c>
      <c r="G2400" s="1">
        <v>266660</v>
      </c>
    </row>
    <row r="2401" spans="1:7" x14ac:dyDescent="0.25">
      <c r="A2401" s="1" t="s">
        <v>2617</v>
      </c>
      <c r="B2401" s="2" t="str">
        <f>HYPERLINK("https://www.elsevier.com/locate/issn/0370-2693", "Physics Letters B")</f>
        <v>Physics Letters B</v>
      </c>
      <c r="C2401" s="1" t="s">
        <v>23</v>
      </c>
      <c r="D2401" s="1" t="s">
        <v>324</v>
      </c>
      <c r="E2401" s="1" t="s">
        <v>324</v>
      </c>
      <c r="F2401" s="1" t="s">
        <v>324</v>
      </c>
      <c r="G2401" s="1" t="s">
        <v>324</v>
      </c>
    </row>
    <row r="2402" spans="1:7" x14ac:dyDescent="0.25">
      <c r="A2402" s="1" t="s">
        <v>2618</v>
      </c>
      <c r="B2402" s="2" t="str">
        <f>HYPERLINK("https://www.elsevier.com/locate/issn/1571-0645", "Physics of Life Reviews")</f>
        <v>Physics of Life Reviews</v>
      </c>
      <c r="C2402" s="1" t="s">
        <v>10</v>
      </c>
      <c r="D2402" s="1">
        <v>4720</v>
      </c>
      <c r="E2402" s="1">
        <v>4420</v>
      </c>
      <c r="F2402" s="1">
        <v>3780</v>
      </c>
      <c r="G2402" s="1">
        <v>585420</v>
      </c>
    </row>
    <row r="2403" spans="1:7" x14ac:dyDescent="0.25">
      <c r="A2403" s="1" t="s">
        <v>2619</v>
      </c>
      <c r="B2403" s="2" t="str">
        <f>HYPERLINK("https://www.elsevier.com/locate/issn/2212-6864", "Physics of the Dark Universe")</f>
        <v>Physics of the Dark Universe</v>
      </c>
      <c r="C2403" s="1" t="s">
        <v>10</v>
      </c>
      <c r="D2403" s="1">
        <v>3660</v>
      </c>
      <c r="E2403" s="1">
        <v>3420</v>
      </c>
      <c r="F2403" s="1">
        <v>2930</v>
      </c>
      <c r="G2403" s="1">
        <v>453950</v>
      </c>
    </row>
    <row r="2404" spans="1:7" x14ac:dyDescent="0.25">
      <c r="A2404" s="1" t="s">
        <v>2620</v>
      </c>
      <c r="B2404" s="2" t="str">
        <f>HYPERLINK("https://www.elsevier.com/locate/issn/0031-9201", "Physics of The Earth and Planetary Interiors")</f>
        <v>Physics of The Earth and Planetary Interiors</v>
      </c>
      <c r="C2404" s="1" t="s">
        <v>10</v>
      </c>
      <c r="D2404" s="1">
        <v>3290</v>
      </c>
      <c r="E2404" s="1">
        <v>3080</v>
      </c>
      <c r="F2404" s="1">
        <v>2630</v>
      </c>
      <c r="G2404" s="1">
        <v>408060</v>
      </c>
    </row>
    <row r="2405" spans="1:7" x14ac:dyDescent="0.25">
      <c r="A2405" s="1" t="s">
        <v>2621</v>
      </c>
      <c r="B2405" s="2" t="str">
        <f>HYPERLINK("https://www.elsevier.com/locate/issn/2666-0326", "Physics Open")</f>
        <v>Physics Open</v>
      </c>
      <c r="C2405" s="1" t="s">
        <v>23</v>
      </c>
      <c r="D2405" s="1">
        <v>1700</v>
      </c>
      <c r="E2405" s="1">
        <v>1590</v>
      </c>
      <c r="F2405" s="1">
        <v>1360</v>
      </c>
      <c r="G2405" s="1">
        <v>210850</v>
      </c>
    </row>
    <row r="2406" spans="1:7" x14ac:dyDescent="0.25">
      <c r="A2406" s="1" t="s">
        <v>2622</v>
      </c>
      <c r="B2406" s="2" t="str">
        <f>HYPERLINK("https://www.elsevier.com/locate/issn/0370-1573", "Physics Reports")</f>
        <v>Physics Reports</v>
      </c>
      <c r="C2406" s="1" t="s">
        <v>10</v>
      </c>
      <c r="D2406" s="1">
        <v>6240</v>
      </c>
      <c r="E2406" s="1">
        <v>5840</v>
      </c>
      <c r="F2406" s="1">
        <v>5000</v>
      </c>
      <c r="G2406" s="1">
        <v>773950</v>
      </c>
    </row>
    <row r="2407" spans="1:7" x14ac:dyDescent="0.25">
      <c r="A2407" s="1" t="s">
        <v>2623</v>
      </c>
      <c r="B2407" s="2" t="str">
        <f>HYPERLINK("https://www.elsevier.com/locate/issn/0885-5765", "Physiological and Molecular Plant Pathology")</f>
        <v>Physiological and Molecular Plant Pathology</v>
      </c>
      <c r="C2407" s="1" t="s">
        <v>10</v>
      </c>
      <c r="D2407" s="1">
        <v>3550</v>
      </c>
      <c r="E2407" s="1">
        <v>3320</v>
      </c>
      <c r="F2407" s="1">
        <v>2840</v>
      </c>
      <c r="G2407" s="1">
        <v>440310</v>
      </c>
    </row>
    <row r="2408" spans="1:7" x14ac:dyDescent="0.25">
      <c r="A2408" s="1" t="s">
        <v>2624</v>
      </c>
      <c r="B2408" s="2" t="str">
        <f>HYPERLINK("https://www.elsevier.com/locate/issn/0031-9384", "Physiology &amp; Behavior")</f>
        <v>Physiology &amp; Behavior</v>
      </c>
      <c r="C2408" s="1" t="s">
        <v>10</v>
      </c>
      <c r="D2408" s="1">
        <v>3500</v>
      </c>
      <c r="E2408" s="1">
        <v>3270</v>
      </c>
      <c r="F2408" s="1">
        <v>2800</v>
      </c>
      <c r="G2408" s="1">
        <v>434110</v>
      </c>
    </row>
    <row r="2409" spans="1:7" x14ac:dyDescent="0.25">
      <c r="A2409" s="1" t="s">
        <v>2625</v>
      </c>
      <c r="B2409" s="2" t="str">
        <f>HYPERLINK("https://www.elsevier.com/locate/issn/0031-9406", "Physiotherapy")</f>
        <v>Physiotherapy</v>
      </c>
      <c r="C2409" s="1" t="s">
        <v>10</v>
      </c>
      <c r="D2409" s="1">
        <v>3480</v>
      </c>
      <c r="E2409" s="1">
        <v>3260</v>
      </c>
      <c r="F2409" s="1">
        <v>2790</v>
      </c>
      <c r="G2409" s="1">
        <v>431620</v>
      </c>
    </row>
    <row r="2410" spans="1:7" x14ac:dyDescent="0.25">
      <c r="A2410" s="1" t="s">
        <v>2626</v>
      </c>
      <c r="B2410" s="2" t="str">
        <f>HYPERLINK("https://www.elsevier.com/locate/issn/0031-9422", "Phytochemistry")</f>
        <v>Phytochemistry</v>
      </c>
      <c r="C2410" s="1" t="s">
        <v>10</v>
      </c>
      <c r="D2410" s="1">
        <v>4350</v>
      </c>
      <c r="E2410" s="1">
        <v>4070</v>
      </c>
      <c r="F2410" s="1">
        <v>3480</v>
      </c>
      <c r="G2410" s="1">
        <v>539530</v>
      </c>
    </row>
    <row r="2411" spans="1:7" x14ac:dyDescent="0.25">
      <c r="A2411" s="1" t="s">
        <v>2627</v>
      </c>
      <c r="B2411" s="2" t="str">
        <f>HYPERLINK("https://www.elsevier.com/locate/issn/1874-3900", "Phytochemistry Letters")</f>
        <v>Phytochemistry Letters</v>
      </c>
      <c r="C2411" s="1" t="s">
        <v>10</v>
      </c>
      <c r="D2411" s="1">
        <v>3520</v>
      </c>
      <c r="E2411" s="1">
        <v>3290</v>
      </c>
      <c r="F2411" s="1">
        <v>2820</v>
      </c>
      <c r="G2411" s="1">
        <v>436590</v>
      </c>
    </row>
    <row r="2412" spans="1:7" x14ac:dyDescent="0.25">
      <c r="A2412" s="1" t="s">
        <v>2628</v>
      </c>
      <c r="B2412" s="2" t="str">
        <f>HYPERLINK("https://www.elsevier.com/locate/issn/0944-7113", "Phytomedicine")</f>
        <v>Phytomedicine</v>
      </c>
      <c r="C2412" s="1" t="s">
        <v>10</v>
      </c>
      <c r="D2412" s="1">
        <v>3630</v>
      </c>
      <c r="E2412" s="1">
        <v>3400</v>
      </c>
      <c r="F2412" s="1">
        <v>2910</v>
      </c>
      <c r="G2412" s="1">
        <v>450230</v>
      </c>
    </row>
    <row r="2413" spans="1:7" x14ac:dyDescent="0.25">
      <c r="A2413" s="1" t="s">
        <v>2629</v>
      </c>
      <c r="B2413" s="2" t="str">
        <f>HYPERLINK("https://www.elsevier.com/locate/issn/2667-0313", "Phytomedicine Plus")</f>
        <v>Phytomedicine Plus</v>
      </c>
      <c r="C2413" s="1" t="s">
        <v>23</v>
      </c>
      <c r="D2413" s="1">
        <v>1590</v>
      </c>
      <c r="E2413" s="1">
        <v>1490</v>
      </c>
      <c r="F2413" s="1">
        <v>1270</v>
      </c>
      <c r="G2413" s="1">
        <v>197210</v>
      </c>
    </row>
    <row r="2414" spans="1:7" x14ac:dyDescent="0.25">
      <c r="A2414" s="1" t="s">
        <v>2630</v>
      </c>
      <c r="B2414" s="2" t="str">
        <f>HYPERLINK("https://www.elsevier.com/locate/issn/0213-9251", "Piel")</f>
        <v>Piel</v>
      </c>
      <c r="C2414" s="1" t="s">
        <v>10</v>
      </c>
      <c r="D2414" s="1">
        <v>2290</v>
      </c>
      <c r="E2414" s="1">
        <v>2090</v>
      </c>
      <c r="F2414" s="1">
        <v>1830</v>
      </c>
      <c r="G2414" s="1">
        <v>284030</v>
      </c>
    </row>
    <row r="2415" spans="1:7" x14ac:dyDescent="0.25">
      <c r="A2415" s="1" t="s">
        <v>2631</v>
      </c>
      <c r="B2415" s="2" t="str">
        <f>HYPERLINK("https://www.elsevier.com/locate/issn/0143-4004", "Placenta")</f>
        <v>Placenta</v>
      </c>
      <c r="C2415" s="1" t="s">
        <v>10</v>
      </c>
      <c r="D2415" s="1">
        <v>3720</v>
      </c>
      <c r="E2415" s="1">
        <v>3480</v>
      </c>
      <c r="F2415" s="1">
        <v>2980</v>
      </c>
      <c r="G2415" s="1">
        <v>461390</v>
      </c>
    </row>
    <row r="2416" spans="1:7" x14ac:dyDescent="0.25">
      <c r="A2416" s="1" t="s">
        <v>2632</v>
      </c>
      <c r="B2416" s="2" t="str">
        <f>HYPERLINK("https://www.elsevier.com/locate/issn/0032-0633", "Planetary and Space Science")</f>
        <v>Planetary and Space Science</v>
      </c>
      <c r="C2416" s="1" t="s">
        <v>10</v>
      </c>
      <c r="D2416" s="1">
        <v>3680</v>
      </c>
      <c r="E2416" s="1">
        <v>3440</v>
      </c>
      <c r="F2416" s="1">
        <v>2950</v>
      </c>
      <c r="G2416" s="1">
        <v>456430</v>
      </c>
    </row>
    <row r="2417" spans="1:7" x14ac:dyDescent="0.25">
      <c r="A2417" s="1" t="s">
        <v>2633</v>
      </c>
      <c r="B2417" s="2" t="str">
        <f>HYPERLINK("https://www.elsevier.com/locate/issn/2590-3462", "Plant Communications")</f>
        <v>Plant Communications</v>
      </c>
      <c r="C2417" s="1" t="s">
        <v>23</v>
      </c>
      <c r="D2417" s="1">
        <v>3500</v>
      </c>
      <c r="E2417" s="1">
        <v>3240</v>
      </c>
      <c r="F2417" s="1">
        <v>2800</v>
      </c>
      <c r="G2417" s="1">
        <v>434110</v>
      </c>
    </row>
    <row r="2418" spans="1:7" x14ac:dyDescent="0.25">
      <c r="A2418" s="1" t="s">
        <v>2634</v>
      </c>
      <c r="B2418" s="2" t="str">
        <f>HYPERLINK("https://www.elsevier.com/locate/issn/2468-2659", "Plant Diversity")</f>
        <v>Plant Diversity</v>
      </c>
      <c r="C2418" s="1" t="s">
        <v>34</v>
      </c>
      <c r="D2418" s="1" t="s">
        <v>324</v>
      </c>
      <c r="E2418" s="1" t="s">
        <v>324</v>
      </c>
      <c r="F2418" s="1" t="s">
        <v>324</v>
      </c>
      <c r="G2418" s="1" t="s">
        <v>324</v>
      </c>
    </row>
    <row r="2419" spans="1:7" x14ac:dyDescent="0.25">
      <c r="A2419" s="1" t="s">
        <v>2635</v>
      </c>
      <c r="B2419" s="2" t="str">
        <f>HYPERLINK("https://www.elsevier.com/locate/issn/2352-4073", "Plant Gene")</f>
        <v>Plant Gene</v>
      </c>
      <c r="C2419" s="1" t="s">
        <v>10</v>
      </c>
      <c r="D2419" s="1">
        <v>3590</v>
      </c>
      <c r="E2419" s="1">
        <v>3360</v>
      </c>
      <c r="F2419" s="1">
        <v>2870</v>
      </c>
      <c r="G2419" s="1">
        <v>445270</v>
      </c>
    </row>
    <row r="2420" spans="1:7" x14ac:dyDescent="0.25">
      <c r="A2420" s="1" t="s">
        <v>2636</v>
      </c>
      <c r="B2420" s="2" t="str">
        <f>HYPERLINK("https://www.elsevier.com/locate/issn/2773-1111", "Plant Nano Biology")</f>
        <v>Plant Nano Biology</v>
      </c>
      <c r="C2420" s="1" t="s">
        <v>23</v>
      </c>
      <c r="D2420" s="1">
        <v>2380</v>
      </c>
      <c r="E2420" s="1">
        <v>2230</v>
      </c>
      <c r="F2420" s="1">
        <v>1910</v>
      </c>
      <c r="G2420" s="1">
        <v>295190</v>
      </c>
    </row>
    <row r="2421" spans="1:7" x14ac:dyDescent="0.25">
      <c r="A2421" s="1" t="s">
        <v>2637</v>
      </c>
      <c r="B2421" s="2" t="str">
        <f>HYPERLINK("https://www.elsevier.com/locate/issn/2643-6515", "Plant Phenomics")</f>
        <v>Plant Phenomics</v>
      </c>
      <c r="C2421" s="1" t="s">
        <v>23</v>
      </c>
      <c r="D2421" s="1">
        <v>3000</v>
      </c>
      <c r="E2421" s="1">
        <v>2810</v>
      </c>
      <c r="F2421" s="1">
        <v>2400</v>
      </c>
      <c r="G2421" s="1">
        <v>372090</v>
      </c>
    </row>
    <row r="2422" spans="1:7" x14ac:dyDescent="0.25">
      <c r="A2422" s="1" t="s">
        <v>2638</v>
      </c>
      <c r="B2422" s="2" t="str">
        <f>HYPERLINK("https://www.elsevier.com/locate/issn/0981-9428", "Plant Physiology and Biochemistry")</f>
        <v>Plant Physiology and Biochemistry</v>
      </c>
      <c r="C2422" s="1" t="s">
        <v>10</v>
      </c>
      <c r="D2422" s="1">
        <v>3990</v>
      </c>
      <c r="E2422" s="1">
        <v>3730</v>
      </c>
      <c r="F2422" s="1">
        <v>3190</v>
      </c>
      <c r="G2422" s="1">
        <v>494880</v>
      </c>
    </row>
    <row r="2423" spans="1:7" x14ac:dyDescent="0.25">
      <c r="A2423" s="1" t="s">
        <v>2639</v>
      </c>
      <c r="B2423" s="2" t="str">
        <f>HYPERLINK("https://www.elsevier.com/locate/issn/0168-9452", "Plant Science")</f>
        <v>Plant Science</v>
      </c>
      <c r="C2423" s="1" t="s">
        <v>10</v>
      </c>
      <c r="D2423" s="1">
        <v>3760</v>
      </c>
      <c r="E2423" s="1">
        <v>3520</v>
      </c>
      <c r="F2423" s="1">
        <v>3010</v>
      </c>
      <c r="G2423" s="1">
        <v>466350</v>
      </c>
    </row>
    <row r="2424" spans="1:7" x14ac:dyDescent="0.25">
      <c r="A2424" s="1" t="s">
        <v>2640</v>
      </c>
      <c r="B2424" s="2" t="str">
        <f>HYPERLINK("https://www.elsevier.com/locate/issn/2667-064X", "Plant Stress")</f>
        <v>Plant Stress</v>
      </c>
      <c r="C2424" s="1" t="s">
        <v>23</v>
      </c>
      <c r="D2424" s="1">
        <v>2150</v>
      </c>
      <c r="E2424" s="1">
        <v>2010</v>
      </c>
      <c r="F2424" s="1">
        <v>1720</v>
      </c>
      <c r="G2424" s="1">
        <v>266660</v>
      </c>
    </row>
    <row r="2425" spans="1:7" x14ac:dyDescent="0.25">
      <c r="A2425" s="1" t="s">
        <v>2641</v>
      </c>
      <c r="B2425" s="2" t="str">
        <f>HYPERLINK("https://www.elsevier.com/locate/issn/0147-619X", "Plasmid")</f>
        <v>Plasmid</v>
      </c>
      <c r="C2425" s="1" t="s">
        <v>10</v>
      </c>
      <c r="D2425" s="1">
        <v>2920</v>
      </c>
      <c r="E2425" s="1">
        <v>2730</v>
      </c>
      <c r="F2425" s="1">
        <v>2340</v>
      </c>
      <c r="G2425" s="1">
        <v>362170</v>
      </c>
    </row>
    <row r="2426" spans="1:7" x14ac:dyDescent="0.25">
      <c r="A2426" s="1" t="s">
        <v>2642</v>
      </c>
      <c r="B2426" s="2" t="str">
        <f>HYPERLINK("https://www.elsevier.com/locate/issn/0304-422X", "Poetics")</f>
        <v>Poetics</v>
      </c>
      <c r="C2426" s="1" t="s">
        <v>10</v>
      </c>
      <c r="D2426" s="1">
        <v>3390</v>
      </c>
      <c r="E2426" s="1">
        <v>3170</v>
      </c>
      <c r="F2426" s="1">
        <v>2710</v>
      </c>
      <c r="G2426" s="1">
        <v>420460</v>
      </c>
    </row>
    <row r="2427" spans="1:7" x14ac:dyDescent="0.25">
      <c r="A2427" s="1" t="s">
        <v>2643</v>
      </c>
      <c r="B2427" s="2" t="str">
        <f>HYPERLINK("https://www.elsevier.com/locate/issn/1873-9652", "Polar Science")</f>
        <v>Polar Science</v>
      </c>
      <c r="C2427" s="1" t="s">
        <v>10</v>
      </c>
      <c r="D2427" s="1">
        <v>2570</v>
      </c>
      <c r="E2427" s="1">
        <v>2400</v>
      </c>
      <c r="F2427" s="1">
        <v>2060</v>
      </c>
      <c r="G2427" s="1">
        <v>318760</v>
      </c>
    </row>
    <row r="2428" spans="1:7" x14ac:dyDescent="0.25">
      <c r="A2428" s="1" t="s">
        <v>2644</v>
      </c>
      <c r="B2428" s="2" t="str">
        <f>HYPERLINK("https://www.elsevier.com/locate/issn/0962-6298", "Political Geography")</f>
        <v>Political Geography</v>
      </c>
      <c r="C2428" s="1" t="s">
        <v>10</v>
      </c>
      <c r="D2428" s="1">
        <v>3540</v>
      </c>
      <c r="E2428" s="1">
        <v>3310</v>
      </c>
      <c r="F2428" s="1">
        <v>2830</v>
      </c>
      <c r="G2428" s="1">
        <v>439070</v>
      </c>
    </row>
    <row r="2429" spans="1:7" x14ac:dyDescent="0.25">
      <c r="A2429" s="1" t="s">
        <v>2645</v>
      </c>
      <c r="B2429" s="2" t="str">
        <f>HYPERLINK("https://www.elsevier.com/locate/issn/2772-9990", "Political Geography Open Research")</f>
        <v>Political Geography Open Research</v>
      </c>
      <c r="C2429" s="1" t="s">
        <v>23</v>
      </c>
      <c r="D2429" s="1">
        <v>2000</v>
      </c>
      <c r="E2429" s="1">
        <v>1870</v>
      </c>
      <c r="F2429" s="1">
        <v>1600</v>
      </c>
      <c r="G2429" s="1">
        <v>248060</v>
      </c>
    </row>
    <row r="2430" spans="1:7" x14ac:dyDescent="0.25">
      <c r="A2430" s="1" t="s">
        <v>2646</v>
      </c>
      <c r="B2430" s="2" t="str">
        <f>HYPERLINK("https://www.elsevier.com/locate/issn/0277-5387", "Polyhedron")</f>
        <v>Polyhedron</v>
      </c>
      <c r="C2430" s="1" t="s">
        <v>10</v>
      </c>
      <c r="D2430" s="1">
        <v>3740</v>
      </c>
      <c r="E2430" s="1">
        <v>3500</v>
      </c>
      <c r="F2430" s="1">
        <v>2990</v>
      </c>
      <c r="G2430" s="1">
        <v>463870</v>
      </c>
    </row>
    <row r="2431" spans="1:7" x14ac:dyDescent="0.25">
      <c r="A2431" s="1" t="s">
        <v>2647</v>
      </c>
      <c r="B2431" s="2" t="str">
        <f>HYPERLINK("https://www.elsevier.com/locate/issn/0032-3861", "Polymer")</f>
        <v>Polymer</v>
      </c>
      <c r="C2431" s="1" t="s">
        <v>10</v>
      </c>
      <c r="D2431" s="1">
        <v>3980</v>
      </c>
      <c r="E2431" s="1">
        <v>3720</v>
      </c>
      <c r="F2431" s="1">
        <v>3190</v>
      </c>
      <c r="G2431" s="1">
        <v>493640</v>
      </c>
    </row>
    <row r="2432" spans="1:7" x14ac:dyDescent="0.25">
      <c r="A2432" s="1" t="s">
        <v>2648</v>
      </c>
      <c r="B2432" s="2" t="str">
        <f>HYPERLINK("https://www.elsevier.com/locate/issn/0141-3910", "Polymer Degradation and Stability")</f>
        <v>Polymer Degradation and Stability</v>
      </c>
      <c r="C2432" s="1" t="s">
        <v>10</v>
      </c>
      <c r="D2432" s="1">
        <v>4190</v>
      </c>
      <c r="E2432" s="1">
        <v>3920</v>
      </c>
      <c r="F2432" s="1">
        <v>3350</v>
      </c>
      <c r="G2432" s="1">
        <v>519690</v>
      </c>
    </row>
    <row r="2433" spans="1:7" x14ac:dyDescent="0.25">
      <c r="A2433" s="1" t="s">
        <v>2649</v>
      </c>
      <c r="B2433" s="2" t="str">
        <f>HYPERLINK("https://www.elsevier.com/locate/issn/0142-9418", "Polymer Testing")</f>
        <v>Polymer Testing</v>
      </c>
      <c r="C2433" s="1" t="s">
        <v>23</v>
      </c>
      <c r="D2433" s="1">
        <v>3060</v>
      </c>
      <c r="E2433" s="1">
        <v>2860</v>
      </c>
      <c r="F2433" s="1">
        <v>2450</v>
      </c>
      <c r="G2433" s="1">
        <v>379530</v>
      </c>
    </row>
    <row r="2434" spans="1:7" x14ac:dyDescent="0.25">
      <c r="A2434" s="1" t="s">
        <v>2650</v>
      </c>
      <c r="B2434" s="2" t="str">
        <f>HYPERLINK("https://www.elsevier.com/locate/issn/0925-5214", "Postharvest Biology and Technology")</f>
        <v>Postharvest Biology and Technology</v>
      </c>
      <c r="C2434" s="1" t="s">
        <v>10</v>
      </c>
      <c r="D2434" s="1">
        <v>4280</v>
      </c>
      <c r="E2434" s="1">
        <v>4000</v>
      </c>
      <c r="F2434" s="1">
        <v>3430</v>
      </c>
      <c r="G2434" s="1">
        <v>530850</v>
      </c>
    </row>
    <row r="2435" spans="1:7" x14ac:dyDescent="0.25">
      <c r="A2435" s="1" t="s">
        <v>2651</v>
      </c>
      <c r="B2435" s="2" t="str">
        <f>HYPERLINK("https://www.elsevier.com/locate/issn/0032-5791", "Poultry Science")</f>
        <v>Poultry Science</v>
      </c>
      <c r="C2435" s="1" t="s">
        <v>23</v>
      </c>
      <c r="D2435" s="1">
        <v>2600</v>
      </c>
      <c r="E2435" s="1">
        <v>2430</v>
      </c>
      <c r="F2435" s="1">
        <v>2080</v>
      </c>
      <c r="G2435" s="1">
        <v>322480</v>
      </c>
    </row>
    <row r="2436" spans="1:7" x14ac:dyDescent="0.25">
      <c r="A2436" s="1" t="s">
        <v>2652</v>
      </c>
      <c r="B2436" s="2" t="str">
        <f>HYPERLINK("https://www.elsevier.com/locate/issn/0032-5910", "Powder Technology")</f>
        <v>Powder Technology</v>
      </c>
      <c r="C2436" s="1" t="s">
        <v>10</v>
      </c>
      <c r="D2436" s="1">
        <v>4610</v>
      </c>
      <c r="E2436" s="1">
        <v>4310</v>
      </c>
      <c r="F2436" s="1">
        <v>3690</v>
      </c>
      <c r="G2436" s="1">
        <v>571780</v>
      </c>
    </row>
    <row r="2437" spans="1:7" x14ac:dyDescent="0.25">
      <c r="A2437" s="1" t="s">
        <v>2653</v>
      </c>
      <c r="B2437" s="2" t="str">
        <f>HYPERLINK("https://www.elsevier.com/locate/issn/2772-3704", "Power Electronic Devices and Components")</f>
        <v>Power Electronic Devices and Components</v>
      </c>
      <c r="C2437" s="1" t="s">
        <v>23</v>
      </c>
      <c r="D2437" s="1">
        <v>1590</v>
      </c>
      <c r="E2437" s="1">
        <v>1490</v>
      </c>
      <c r="F2437" s="1">
        <v>1270</v>
      </c>
      <c r="G2437" s="1">
        <v>197210</v>
      </c>
    </row>
    <row r="2438" spans="1:7" x14ac:dyDescent="0.25">
      <c r="A2438" s="1" t="s">
        <v>2654</v>
      </c>
      <c r="B2438" s="2" t="str">
        <f>HYPERLINK("https://www.elsevier.com/locate/issn/2352-5517", "Practical Laboratory Medicine")</f>
        <v>Practical Laboratory Medicine</v>
      </c>
      <c r="C2438" s="1" t="s">
        <v>23</v>
      </c>
      <c r="D2438" s="1">
        <v>2470</v>
      </c>
      <c r="E2438" s="1">
        <v>2310</v>
      </c>
      <c r="F2438" s="1">
        <v>1980</v>
      </c>
      <c r="G2438" s="1">
        <v>306350</v>
      </c>
    </row>
    <row r="2439" spans="1:7" x14ac:dyDescent="0.25">
      <c r="A2439" s="1" t="s">
        <v>2655</v>
      </c>
      <c r="B2439" s="2" t="str">
        <f>HYPERLINK("https://www.elsevier.com/locate/issn/1879-8500", "Practical Radiation Oncology")</f>
        <v>Practical Radiation Oncology</v>
      </c>
      <c r="C2439" s="1" t="s">
        <v>10</v>
      </c>
      <c r="D2439" s="1">
        <v>2700</v>
      </c>
      <c r="E2439" s="1">
        <v>2530</v>
      </c>
      <c r="F2439" s="1">
        <v>2160</v>
      </c>
      <c r="G2439" s="1">
        <v>334880</v>
      </c>
    </row>
    <row r="2440" spans="1:7" x14ac:dyDescent="0.25">
      <c r="A2440" s="1" t="s">
        <v>2656</v>
      </c>
      <c r="B2440" s="2" t="str">
        <f>HYPERLINK("https://www.elsevier.com/locate/issn/1878-7762", "Pratique Neurologique - FMC")</f>
        <v>Pratique Neurologique - FMC</v>
      </c>
      <c r="C2440" s="1" t="s">
        <v>10</v>
      </c>
      <c r="D2440" s="1">
        <v>1930</v>
      </c>
      <c r="E2440" s="1">
        <v>1760</v>
      </c>
      <c r="F2440" s="1">
        <v>1550</v>
      </c>
      <c r="G2440" s="1">
        <v>239380</v>
      </c>
    </row>
    <row r="2441" spans="1:7" x14ac:dyDescent="0.25">
      <c r="A2441" s="1" t="s">
        <v>2657</v>
      </c>
      <c r="B2441" s="2" t="str">
        <f>HYPERLINK("https://www.elsevier.com/locate/issn/1269-1763", "Pratiques Psychologiques")</f>
        <v>Pratiques Psychologiques</v>
      </c>
      <c r="C2441" s="1" t="s">
        <v>10</v>
      </c>
      <c r="D2441" s="1">
        <v>1520</v>
      </c>
      <c r="E2441" s="1">
        <v>1390</v>
      </c>
      <c r="F2441" s="1">
        <v>1220</v>
      </c>
      <c r="G2441" s="1">
        <v>188530</v>
      </c>
    </row>
    <row r="2442" spans="1:7" x14ac:dyDescent="0.25">
      <c r="A2442" s="1" t="s">
        <v>2658</v>
      </c>
      <c r="B2442" s="2" t="str">
        <f>HYPERLINK("https://www.elsevier.com/locate/issn/0301-9268", "Precambrian Research")</f>
        <v>Precambrian Research</v>
      </c>
      <c r="C2442" s="1" t="s">
        <v>10</v>
      </c>
      <c r="D2442" s="1">
        <v>3600</v>
      </c>
      <c r="E2442" s="1">
        <v>3370</v>
      </c>
      <c r="F2442" s="1">
        <v>2880</v>
      </c>
      <c r="G2442" s="1">
        <v>446510</v>
      </c>
    </row>
    <row r="2443" spans="1:7" x14ac:dyDescent="0.25">
      <c r="A2443" s="1" t="s">
        <v>2659</v>
      </c>
      <c r="B2443" s="2" t="str">
        <f>HYPERLINK("https://www.elsevier.com/locate/issn/0141-6359", "Precision Engineering")</f>
        <v>Precision Engineering</v>
      </c>
      <c r="C2443" s="1" t="s">
        <v>10</v>
      </c>
      <c r="D2443" s="1">
        <v>3340</v>
      </c>
      <c r="E2443" s="1">
        <v>3120</v>
      </c>
      <c r="F2443" s="1">
        <v>2670</v>
      </c>
      <c r="G2443" s="1">
        <v>414260</v>
      </c>
    </row>
    <row r="2444" spans="1:7" x14ac:dyDescent="0.25">
      <c r="A2444" s="1" t="s">
        <v>2660</v>
      </c>
      <c r="B2444" s="2" t="str">
        <f>HYPERLINK("https://www.elsevier.com/locate/issn/3050-6557", "Precision Measurement")</f>
        <v>Precision Measurement</v>
      </c>
      <c r="C2444" s="1" t="s">
        <v>34</v>
      </c>
      <c r="D2444" s="1" t="s">
        <v>324</v>
      </c>
      <c r="E2444" s="1" t="s">
        <v>324</v>
      </c>
      <c r="F2444" s="1" t="s">
        <v>324</v>
      </c>
      <c r="G2444" s="1" t="s">
        <v>324</v>
      </c>
    </row>
    <row r="2445" spans="1:7" x14ac:dyDescent="0.25">
      <c r="A2445" s="1" t="s">
        <v>2661</v>
      </c>
      <c r="B2445" s="2" t="str">
        <f>HYPERLINK("https://www.elsevier.com/locate/issn/2950-5232", "Precision Medication")</f>
        <v>Precision Medication</v>
      </c>
      <c r="C2445" s="1" t="s">
        <v>34</v>
      </c>
      <c r="D2445" s="1" t="s">
        <v>324</v>
      </c>
      <c r="E2445" s="1" t="s">
        <v>324</v>
      </c>
      <c r="F2445" s="1" t="s">
        <v>324</v>
      </c>
      <c r="G2445" s="1" t="s">
        <v>324</v>
      </c>
    </row>
    <row r="2446" spans="1:7" x14ac:dyDescent="0.25">
      <c r="A2446" s="1" t="s">
        <v>2662</v>
      </c>
      <c r="B2446" s="2" t="str">
        <f>HYPERLINK("https://www.elsevier.com/locate/issn/2950-4821", "Precision Medicine and Engineering")</f>
        <v>Precision Medicine and Engineering</v>
      </c>
      <c r="C2446" s="1" t="s">
        <v>23</v>
      </c>
      <c r="D2446" s="1">
        <v>2200</v>
      </c>
      <c r="E2446" s="1">
        <v>2060</v>
      </c>
      <c r="F2446" s="1">
        <v>1760</v>
      </c>
      <c r="G2446" s="1">
        <v>272870</v>
      </c>
    </row>
    <row r="2447" spans="1:7" x14ac:dyDescent="0.25">
      <c r="A2447" s="1" t="s">
        <v>2663</v>
      </c>
      <c r="B2447" s="2" t="str">
        <f>HYPERLINK("https://www.elsevier.com/locate/issn/2210-7789", "Pregnancy Hypertension")</f>
        <v>Pregnancy Hypertension</v>
      </c>
      <c r="C2447" s="1" t="s">
        <v>10</v>
      </c>
      <c r="D2447" s="1">
        <v>3150</v>
      </c>
      <c r="E2447" s="1">
        <v>2950</v>
      </c>
      <c r="F2447" s="1">
        <v>2520</v>
      </c>
      <c r="G2447" s="1">
        <v>390690</v>
      </c>
    </row>
    <row r="2448" spans="1:7" x14ac:dyDescent="0.25">
      <c r="A2448" s="1" t="s">
        <v>2664</v>
      </c>
      <c r="B2448" s="2" t="str">
        <f>HYPERLINK("https://www.elsevier.com/locate/issn/0091-7435", "Preventive Medicine")</f>
        <v>Preventive Medicine</v>
      </c>
      <c r="C2448" s="1" t="s">
        <v>10</v>
      </c>
      <c r="D2448" s="1">
        <v>3650</v>
      </c>
      <c r="E2448" s="1">
        <v>3410</v>
      </c>
      <c r="F2448" s="1">
        <v>2920</v>
      </c>
      <c r="G2448" s="1">
        <v>452710</v>
      </c>
    </row>
    <row r="2449" spans="1:7" x14ac:dyDescent="0.25">
      <c r="A2449" s="1" t="s">
        <v>2665</v>
      </c>
      <c r="B2449" s="2" t="str">
        <f>HYPERLINK("https://www.elsevier.com/locate/issn/2211-3355", "Preventive Medicine Reports")</f>
        <v>Preventive Medicine Reports</v>
      </c>
      <c r="C2449" s="1" t="s">
        <v>23</v>
      </c>
      <c r="D2449" s="1">
        <v>2610</v>
      </c>
      <c r="E2449" s="1">
        <v>2440</v>
      </c>
      <c r="F2449" s="1">
        <v>2090</v>
      </c>
      <c r="G2449" s="1">
        <v>323720</v>
      </c>
    </row>
    <row r="2450" spans="1:7" x14ac:dyDescent="0.25">
      <c r="A2450" s="1" t="s">
        <v>2666</v>
      </c>
      <c r="B2450" s="2" t="str">
        <f>HYPERLINK("https://www.elsevier.com/locate/issn/0167-5877", "Preventive Veterinary Medicine")</f>
        <v>Preventive Veterinary Medicine</v>
      </c>
      <c r="C2450" s="1" t="s">
        <v>10</v>
      </c>
      <c r="D2450" s="1">
        <v>3280</v>
      </c>
      <c r="E2450" s="1">
        <v>3070</v>
      </c>
      <c r="F2450" s="1">
        <v>2630</v>
      </c>
      <c r="G2450" s="1">
        <v>406820</v>
      </c>
    </row>
    <row r="2451" spans="1:7" x14ac:dyDescent="0.25">
      <c r="A2451" s="1" t="s">
        <v>2667</v>
      </c>
      <c r="B2451" s="2" t="str">
        <f>HYPERLINK("https://www.elsevier.com/locate/issn/1751-9918", "Primary Care Diabetes")</f>
        <v>Primary Care Diabetes</v>
      </c>
      <c r="C2451" s="1" t="s">
        <v>10</v>
      </c>
      <c r="D2451" s="1">
        <v>3150</v>
      </c>
      <c r="E2451" s="1">
        <v>2950</v>
      </c>
      <c r="F2451" s="1">
        <v>2520</v>
      </c>
      <c r="G2451" s="1">
        <v>390690</v>
      </c>
    </row>
    <row r="2452" spans="1:7" x14ac:dyDescent="0.25">
      <c r="A2452" s="1" t="s">
        <v>2668</v>
      </c>
      <c r="B2452" s="2" t="str">
        <f>HYPERLINK("https://www.elsevier.com/locate/issn/0266-8920", "Probabilistic Engineering Mechanics")</f>
        <v>Probabilistic Engineering Mechanics</v>
      </c>
      <c r="C2452" s="1" t="s">
        <v>10</v>
      </c>
      <c r="D2452" s="1">
        <v>3370</v>
      </c>
      <c r="E2452" s="1">
        <v>3150</v>
      </c>
      <c r="F2452" s="1">
        <v>2700</v>
      </c>
      <c r="G2452" s="1">
        <v>417980</v>
      </c>
    </row>
    <row r="2453" spans="1:7" x14ac:dyDescent="0.25">
      <c r="A2453" s="1" t="s">
        <v>2669</v>
      </c>
      <c r="B2453" s="2" t="str">
        <f>HYPERLINK("https://www.elsevier.com/locate/issn/2212-8271", "Procedia CIRP")</f>
        <v>Procedia CIRP</v>
      </c>
      <c r="C2453" s="1" t="s">
        <v>34</v>
      </c>
      <c r="D2453" s="1" t="s">
        <v>324</v>
      </c>
      <c r="E2453" s="1" t="s">
        <v>324</v>
      </c>
      <c r="F2453" s="1" t="s">
        <v>324</v>
      </c>
      <c r="G2453" s="1" t="s">
        <v>324</v>
      </c>
    </row>
    <row r="2454" spans="1:7" x14ac:dyDescent="0.25">
      <c r="A2454" s="1" t="s">
        <v>2670</v>
      </c>
      <c r="B2454" s="2" t="str">
        <f>HYPERLINK("https://www.elsevier.com/locate/issn/1877-0509", "Procedia Computer Science")</f>
        <v>Procedia Computer Science</v>
      </c>
      <c r="C2454" s="1" t="s">
        <v>34</v>
      </c>
      <c r="D2454" s="1" t="s">
        <v>324</v>
      </c>
      <c r="E2454" s="1" t="s">
        <v>324</v>
      </c>
      <c r="F2454" s="1" t="s">
        <v>324</v>
      </c>
      <c r="G2454" s="1" t="s">
        <v>324</v>
      </c>
    </row>
    <row r="2455" spans="1:7" x14ac:dyDescent="0.25">
      <c r="A2455" s="1" t="s">
        <v>2671</v>
      </c>
      <c r="B2455" s="2" t="str">
        <f>HYPERLINK("https://www.elsevier.com/locate/issn/2452-3216", "Procedia Structural Integrity")</f>
        <v>Procedia Structural Integrity</v>
      </c>
      <c r="C2455" s="1" t="s">
        <v>34</v>
      </c>
      <c r="D2455" s="1" t="s">
        <v>324</v>
      </c>
      <c r="E2455" s="1" t="s">
        <v>324</v>
      </c>
      <c r="F2455" s="1" t="s">
        <v>324</v>
      </c>
      <c r="G2455" s="1" t="s">
        <v>324</v>
      </c>
    </row>
    <row r="2456" spans="1:7" x14ac:dyDescent="0.25">
      <c r="A2456" s="1" t="s">
        <v>2672</v>
      </c>
      <c r="B2456" s="2" t="str">
        <f>HYPERLINK("https://www.elsevier.com/locate/issn/1540-7489", "Proceedings of the Combustion Institute")</f>
        <v>Proceedings of the Combustion Institute</v>
      </c>
      <c r="C2456" s="1" t="s">
        <v>10</v>
      </c>
      <c r="D2456" s="1">
        <v>3570</v>
      </c>
      <c r="E2456" s="1">
        <v>3340</v>
      </c>
      <c r="F2456" s="1">
        <v>2860</v>
      </c>
      <c r="G2456" s="1">
        <v>442790</v>
      </c>
    </row>
    <row r="2457" spans="1:7" x14ac:dyDescent="0.25">
      <c r="A2457" s="1" t="s">
        <v>2673</v>
      </c>
      <c r="B2457" s="2" t="str">
        <f>HYPERLINK("https://www.elsevier.com/locate/issn/0016-7878", "Proceedings of the Geologists’ Association")</f>
        <v>Proceedings of the Geologists’ Association</v>
      </c>
      <c r="C2457" s="1" t="s">
        <v>10</v>
      </c>
      <c r="D2457" s="1">
        <v>3300</v>
      </c>
      <c r="E2457" s="1">
        <v>3090</v>
      </c>
      <c r="F2457" s="1">
        <v>2640</v>
      </c>
      <c r="G2457" s="1">
        <v>409300</v>
      </c>
    </row>
    <row r="2458" spans="1:7" x14ac:dyDescent="0.25">
      <c r="A2458" s="1" t="s">
        <v>2674</v>
      </c>
      <c r="B2458" s="2" t="str">
        <f>HYPERLINK("https://www.elsevier.com/locate/issn/1359-5113", "Process Biochemistry")</f>
        <v>Process Biochemistry</v>
      </c>
      <c r="C2458" s="1" t="s">
        <v>10</v>
      </c>
      <c r="D2458" s="1">
        <v>3970</v>
      </c>
      <c r="E2458" s="1">
        <v>3710</v>
      </c>
      <c r="F2458" s="1">
        <v>3180</v>
      </c>
      <c r="G2458" s="1">
        <v>492400</v>
      </c>
    </row>
    <row r="2459" spans="1:7" x14ac:dyDescent="0.25">
      <c r="A2459" s="1" t="s">
        <v>2675</v>
      </c>
      <c r="B2459" s="2" t="str">
        <f>HYPERLINK("https://www.elsevier.com/locate/issn/0957-5820", "Process Safety and Environmental Protection")</f>
        <v>Process Safety and Environmental Protection</v>
      </c>
      <c r="C2459" s="1" t="s">
        <v>10</v>
      </c>
      <c r="D2459" s="1">
        <v>3450</v>
      </c>
      <c r="E2459" s="1">
        <v>3230</v>
      </c>
      <c r="F2459" s="1">
        <v>2760</v>
      </c>
      <c r="G2459" s="1">
        <v>427900</v>
      </c>
    </row>
    <row r="2460" spans="1:7" x14ac:dyDescent="0.25">
      <c r="A2460" s="1" t="s">
        <v>2676</v>
      </c>
      <c r="B2460" s="2" t="str">
        <f>HYPERLINK("https://www.elsevier.com/locate/issn/0376-0421", "Progress in Aerospace Sciences")</f>
        <v>Progress in Aerospace Sciences</v>
      </c>
      <c r="C2460" s="1" t="s">
        <v>10</v>
      </c>
      <c r="D2460" s="1">
        <v>5860</v>
      </c>
      <c r="E2460" s="1">
        <v>5480</v>
      </c>
      <c r="F2460" s="1">
        <v>4690</v>
      </c>
      <c r="G2460" s="1">
        <v>726820</v>
      </c>
    </row>
    <row r="2461" spans="1:7" x14ac:dyDescent="0.25">
      <c r="A2461" s="1" t="s">
        <v>2677</v>
      </c>
      <c r="B2461" s="2" t="str">
        <f>HYPERLINK("https://www.elsevier.com/locate/issn/0079-6107", "Progress in Biophysics and Molecular Biology")</f>
        <v>Progress in Biophysics and Molecular Biology</v>
      </c>
      <c r="C2461" s="1" t="s">
        <v>10</v>
      </c>
      <c r="D2461" s="1">
        <v>4260</v>
      </c>
      <c r="E2461" s="1">
        <v>3990</v>
      </c>
      <c r="F2461" s="1">
        <v>3410</v>
      </c>
      <c r="G2461" s="1">
        <v>528370</v>
      </c>
    </row>
    <row r="2462" spans="1:7" x14ac:dyDescent="0.25">
      <c r="A2462" s="1" t="s">
        <v>2678</v>
      </c>
      <c r="B2462" s="2" t="str">
        <f>HYPERLINK("https://www.elsevier.com/locate/issn/0033-0620", "Progress in Cardiovascular Diseases")</f>
        <v>Progress in Cardiovascular Diseases</v>
      </c>
      <c r="C2462" s="1" t="s">
        <v>10</v>
      </c>
      <c r="D2462" s="1">
        <v>4130</v>
      </c>
      <c r="E2462" s="1">
        <v>3860</v>
      </c>
      <c r="F2462" s="1">
        <v>3310</v>
      </c>
      <c r="G2462" s="1">
        <v>512240</v>
      </c>
    </row>
    <row r="2463" spans="1:7" x14ac:dyDescent="0.25">
      <c r="A2463" s="1" t="s">
        <v>2679</v>
      </c>
      <c r="B2463" s="2" t="str">
        <f>HYPERLINK("https://www.elsevier.com/locate/issn/2590-0617", "Progress in Disaster Science")</f>
        <v>Progress in Disaster Science</v>
      </c>
      <c r="C2463" s="1" t="s">
        <v>23</v>
      </c>
      <c r="D2463" s="1">
        <v>2120</v>
      </c>
      <c r="E2463" s="1">
        <v>1980</v>
      </c>
      <c r="F2463" s="1">
        <v>1700</v>
      </c>
      <c r="G2463" s="1">
        <v>262940</v>
      </c>
    </row>
    <row r="2464" spans="1:7" x14ac:dyDescent="0.25">
      <c r="A2464" s="1" t="s">
        <v>2680</v>
      </c>
      <c r="B2464" s="2" t="str">
        <f>HYPERLINK("https://www.elsevier.com/locate/issn/2949-6942", "Progress in Economic Geography")</f>
        <v>Progress in Economic Geography</v>
      </c>
      <c r="C2464" s="1" t="s">
        <v>10</v>
      </c>
      <c r="D2464" s="1">
        <v>2470</v>
      </c>
      <c r="E2464" s="1">
        <v>2310</v>
      </c>
      <c r="F2464" s="1">
        <v>1980</v>
      </c>
      <c r="G2464" s="1">
        <v>306350</v>
      </c>
    </row>
    <row r="2465" spans="1:7" x14ac:dyDescent="0.25">
      <c r="A2465" s="1" t="s">
        <v>2681</v>
      </c>
      <c r="B2465" s="2" t="str">
        <f>HYPERLINK("https://www.elsevier.com/locate/issn/0360-1285", "Progress in Energy and Combustion Science")</f>
        <v>Progress in Energy and Combustion Science</v>
      </c>
      <c r="C2465" s="1" t="s">
        <v>10</v>
      </c>
      <c r="D2465" s="1">
        <v>6990</v>
      </c>
      <c r="E2465" s="1">
        <v>6540</v>
      </c>
      <c r="F2465" s="1">
        <v>5600</v>
      </c>
      <c r="G2465" s="1">
        <v>866970</v>
      </c>
    </row>
    <row r="2466" spans="1:7" x14ac:dyDescent="0.25">
      <c r="A2466" s="1" t="s">
        <v>2682</v>
      </c>
      <c r="B2466" s="2" t="str">
        <f>HYPERLINK("https://www.elsevier.com/locate/issn/2950-4252", "Progress in Engineering Science")</f>
        <v>Progress in Engineering Science</v>
      </c>
      <c r="C2466" s="1" t="s">
        <v>10</v>
      </c>
      <c r="D2466" s="1">
        <v>2580</v>
      </c>
      <c r="E2466" s="1">
        <v>2410</v>
      </c>
      <c r="F2466" s="1">
        <v>2070</v>
      </c>
      <c r="G2466" s="1">
        <v>320000</v>
      </c>
    </row>
    <row r="2467" spans="1:7" x14ac:dyDescent="0.25">
      <c r="A2467" s="1" t="s">
        <v>2683</v>
      </c>
      <c r="B2467" s="2" t="str">
        <f>HYPERLINK("https://www.elsevier.com/locate/issn/0163-7827", "Progress in Lipid Research")</f>
        <v>Progress in Lipid Research</v>
      </c>
      <c r="C2467" s="1" t="s">
        <v>10</v>
      </c>
      <c r="D2467" s="1">
        <v>5530</v>
      </c>
      <c r="E2467" s="1">
        <v>5170</v>
      </c>
      <c r="F2467" s="1">
        <v>4430</v>
      </c>
      <c r="G2467" s="1">
        <v>685890</v>
      </c>
    </row>
    <row r="2468" spans="1:7" x14ac:dyDescent="0.25">
      <c r="A2468" s="1" t="s">
        <v>2684</v>
      </c>
      <c r="B2468" s="2" t="str">
        <f>HYPERLINK("https://www.elsevier.com/locate/issn/0079-6425", "Progress in Materials Science")</f>
        <v>Progress in Materials Science</v>
      </c>
      <c r="C2468" s="1" t="s">
        <v>10</v>
      </c>
      <c r="D2468" s="1">
        <v>6040</v>
      </c>
      <c r="E2468" s="1">
        <v>5650</v>
      </c>
      <c r="F2468" s="1">
        <v>4840</v>
      </c>
      <c r="G2468" s="1">
        <v>749140</v>
      </c>
    </row>
    <row r="2469" spans="1:7" x14ac:dyDescent="0.25">
      <c r="A2469" s="1" t="s">
        <v>2685</v>
      </c>
      <c r="B2469" s="2" t="str">
        <f>HYPERLINK("https://www.elsevier.com/locate/issn/1002-0071", "Progress in Natural Science: Materials International")</f>
        <v>Progress in Natural Science: Materials International</v>
      </c>
      <c r="C2469" s="1" t="s">
        <v>10</v>
      </c>
      <c r="D2469" s="1">
        <v>2790</v>
      </c>
      <c r="E2469" s="1">
        <v>2610</v>
      </c>
      <c r="F2469" s="1">
        <v>2230</v>
      </c>
      <c r="G2469" s="1">
        <v>346040</v>
      </c>
    </row>
    <row r="2470" spans="1:7" x14ac:dyDescent="0.25">
      <c r="A2470" s="1" t="s">
        <v>2686</v>
      </c>
      <c r="B2470" s="2" t="str">
        <f>HYPERLINK("https://www.elsevier.com/locate/issn/0278-5846", "Progress in Neuro-Psychopharmacology and Biological Psychiatry")</f>
        <v>Progress in Neuro-Psychopharmacology and Biological Psychiatry</v>
      </c>
      <c r="C2470" s="1" t="s">
        <v>10</v>
      </c>
      <c r="D2470" s="1">
        <v>4380</v>
      </c>
      <c r="E2470" s="1">
        <v>4100</v>
      </c>
      <c r="F2470" s="1">
        <v>3510</v>
      </c>
      <c r="G2470" s="1">
        <v>543250</v>
      </c>
    </row>
    <row r="2471" spans="1:7" x14ac:dyDescent="0.25">
      <c r="A2471" s="1" t="s">
        <v>2687</v>
      </c>
      <c r="B2471" s="2" t="str">
        <f>HYPERLINK("https://www.elsevier.com/locate/issn/0301-0082", "Progress in Neurobiology")</f>
        <v>Progress in Neurobiology</v>
      </c>
      <c r="C2471" s="1" t="s">
        <v>10</v>
      </c>
      <c r="D2471" s="1">
        <v>5190</v>
      </c>
      <c r="E2471" s="1">
        <v>4860</v>
      </c>
      <c r="F2471" s="1">
        <v>4150</v>
      </c>
      <c r="G2471" s="1">
        <v>643720</v>
      </c>
    </row>
    <row r="2472" spans="1:7" x14ac:dyDescent="0.25">
      <c r="A2472" s="1" t="s">
        <v>2688</v>
      </c>
      <c r="B2472" s="2" t="str">
        <f>HYPERLINK("https://www.elsevier.com/locate/issn/0149-1970", "Progress in Nuclear Energy")</f>
        <v>Progress in Nuclear Energy</v>
      </c>
      <c r="C2472" s="1" t="s">
        <v>10</v>
      </c>
      <c r="D2472" s="1">
        <v>2930</v>
      </c>
      <c r="E2472" s="1">
        <v>2740</v>
      </c>
      <c r="F2472" s="1">
        <v>2350</v>
      </c>
      <c r="G2472" s="1">
        <v>363410</v>
      </c>
    </row>
    <row r="2473" spans="1:7" x14ac:dyDescent="0.25">
      <c r="A2473" s="1" t="s">
        <v>2689</v>
      </c>
      <c r="B2473" s="2" t="str">
        <f>HYPERLINK("https://www.elsevier.com/locate/issn/0079-6565", "Progress in Nuclear Magnetic Resonance Spectroscopy")</f>
        <v>Progress in Nuclear Magnetic Resonance Spectroscopy</v>
      </c>
      <c r="C2473" s="1" t="s">
        <v>10</v>
      </c>
      <c r="D2473" s="1">
        <v>4170</v>
      </c>
      <c r="E2473" s="1">
        <v>3900</v>
      </c>
      <c r="F2473" s="1">
        <v>3340</v>
      </c>
      <c r="G2473" s="1">
        <v>517210</v>
      </c>
    </row>
    <row r="2474" spans="1:7" x14ac:dyDescent="0.25">
      <c r="A2474" s="1" t="s">
        <v>2690</v>
      </c>
      <c r="B2474" s="2" t="str">
        <f>HYPERLINK("https://www.elsevier.com/locate/issn/0079-6611", "Progress in Oceanography")</f>
        <v>Progress in Oceanography</v>
      </c>
      <c r="C2474" s="1" t="s">
        <v>10</v>
      </c>
      <c r="D2474" s="1">
        <v>3720</v>
      </c>
      <c r="E2474" s="1">
        <v>3480</v>
      </c>
      <c r="F2474" s="1">
        <v>2980</v>
      </c>
      <c r="G2474" s="1">
        <v>461390</v>
      </c>
    </row>
    <row r="2475" spans="1:7" x14ac:dyDescent="0.25">
      <c r="A2475" s="1" t="s">
        <v>2691</v>
      </c>
      <c r="B2475" s="2" t="str">
        <f>HYPERLINK("https://www.elsevier.com/locate/issn/0300-9440", "Progress in Organic Coatings")</f>
        <v>Progress in Organic Coatings</v>
      </c>
      <c r="C2475" s="1" t="s">
        <v>10</v>
      </c>
      <c r="D2475" s="1">
        <v>4350</v>
      </c>
      <c r="E2475" s="1">
        <v>4070</v>
      </c>
      <c r="F2475" s="1">
        <v>3480</v>
      </c>
      <c r="G2475" s="1">
        <v>539530</v>
      </c>
    </row>
    <row r="2476" spans="1:7" x14ac:dyDescent="0.25">
      <c r="A2476" s="1" t="s">
        <v>2692</v>
      </c>
      <c r="B2476" s="2" t="str">
        <f>HYPERLINK("https://www.elsevier.com/locate/issn/0146-6410", "Progress in Particle and Nuclear Physics")</f>
        <v>Progress in Particle and Nuclear Physics</v>
      </c>
      <c r="C2476" s="1" t="s">
        <v>10</v>
      </c>
      <c r="D2476" s="1">
        <v>4780</v>
      </c>
      <c r="E2476" s="1">
        <v>4470</v>
      </c>
      <c r="F2476" s="1">
        <v>3830</v>
      </c>
      <c r="G2476" s="1">
        <v>592860</v>
      </c>
    </row>
    <row r="2477" spans="1:7" x14ac:dyDescent="0.25">
      <c r="A2477" s="1" t="s">
        <v>2693</v>
      </c>
      <c r="B2477" s="2" t="str">
        <f>HYPERLINK("https://www.elsevier.com/locate/issn/1058-9813", "Progress in Pediatric Cardiology")</f>
        <v>Progress in Pediatric Cardiology</v>
      </c>
      <c r="C2477" s="1" t="s">
        <v>10</v>
      </c>
      <c r="D2477" s="1">
        <v>2670</v>
      </c>
      <c r="E2477" s="1">
        <v>2500</v>
      </c>
      <c r="F2477" s="1">
        <v>2140</v>
      </c>
      <c r="G2477" s="1">
        <v>331160</v>
      </c>
    </row>
    <row r="2478" spans="1:7" x14ac:dyDescent="0.25">
      <c r="A2478" s="1" t="s">
        <v>2694</v>
      </c>
      <c r="B2478" s="2" t="str">
        <f>HYPERLINK("https://www.elsevier.com/locate/issn/0305-9006", "Progress in Planning")</f>
        <v>Progress in Planning</v>
      </c>
      <c r="C2478" s="1" t="s">
        <v>10</v>
      </c>
      <c r="D2478" s="1">
        <v>4380</v>
      </c>
      <c r="E2478" s="1">
        <v>4100</v>
      </c>
      <c r="F2478" s="1">
        <v>3510</v>
      </c>
      <c r="G2478" s="1">
        <v>543250</v>
      </c>
    </row>
    <row r="2479" spans="1:7" x14ac:dyDescent="0.25">
      <c r="A2479" s="1" t="s">
        <v>2695</v>
      </c>
      <c r="B2479" s="2" t="str">
        <f>HYPERLINK("https://www.elsevier.com/locate/issn/0079-6700", "Progress in Polymer Science")</f>
        <v>Progress in Polymer Science</v>
      </c>
      <c r="C2479" s="1" t="s">
        <v>10</v>
      </c>
      <c r="D2479" s="1">
        <v>6500</v>
      </c>
      <c r="E2479" s="1">
        <v>6080</v>
      </c>
      <c r="F2479" s="1">
        <v>5200</v>
      </c>
      <c r="G2479" s="1">
        <v>806200</v>
      </c>
    </row>
    <row r="2480" spans="1:7" x14ac:dyDescent="0.25">
      <c r="A2480" s="1" t="s">
        <v>2696</v>
      </c>
      <c r="B2480" s="2" t="str">
        <f>HYPERLINK("https://www.elsevier.com/locate/issn/0079-6727", "Progress in Quantum Electronics")</f>
        <v>Progress in Quantum Electronics</v>
      </c>
      <c r="C2480" s="1" t="s">
        <v>10</v>
      </c>
      <c r="D2480" s="1">
        <v>4090</v>
      </c>
      <c r="E2480" s="1">
        <v>3830</v>
      </c>
      <c r="F2480" s="1">
        <v>3270</v>
      </c>
      <c r="G2480" s="1">
        <v>507280</v>
      </c>
    </row>
    <row r="2481" spans="1:7" x14ac:dyDescent="0.25">
      <c r="A2481" s="1" t="s">
        <v>2697</v>
      </c>
      <c r="B2481" s="2" t="str">
        <f>HYPERLINK("https://www.elsevier.com/locate/issn/1350-9462", "Progress in Retinal and Eye Research")</f>
        <v>Progress in Retinal and Eye Research</v>
      </c>
      <c r="C2481" s="1" t="s">
        <v>10</v>
      </c>
      <c r="D2481" s="1">
        <v>6710</v>
      </c>
      <c r="E2481" s="1">
        <v>6280</v>
      </c>
      <c r="F2481" s="1">
        <v>5370</v>
      </c>
      <c r="G2481" s="1">
        <v>832240</v>
      </c>
    </row>
    <row r="2482" spans="1:7" x14ac:dyDescent="0.25">
      <c r="A2482" s="1" t="s">
        <v>2698</v>
      </c>
      <c r="B2482" s="2" t="str">
        <f>HYPERLINK("https://www.elsevier.com/locate/issn/0079-6816", "Progress in Surface Science")</f>
        <v>Progress in Surface Science</v>
      </c>
      <c r="C2482" s="1" t="s">
        <v>10</v>
      </c>
      <c r="D2482" s="1">
        <v>4130</v>
      </c>
      <c r="E2482" s="1">
        <v>3860</v>
      </c>
      <c r="F2482" s="1">
        <v>3310</v>
      </c>
      <c r="G2482" s="1">
        <v>512240</v>
      </c>
    </row>
    <row r="2483" spans="1:7" x14ac:dyDescent="0.25">
      <c r="A2483" s="1" t="s">
        <v>2699</v>
      </c>
      <c r="B2483" s="2" t="str">
        <f>HYPERLINK("https://www.elsevier.com/locate/issn/2666-7215", "Project Leadership and Society")</f>
        <v>Project Leadership and Society</v>
      </c>
      <c r="C2483" s="1" t="s">
        <v>23</v>
      </c>
      <c r="D2483" s="1">
        <v>2270</v>
      </c>
      <c r="E2483" s="1">
        <v>2120</v>
      </c>
      <c r="F2483" s="1">
        <v>1820</v>
      </c>
      <c r="G2483" s="1">
        <v>281550</v>
      </c>
    </row>
    <row r="2484" spans="1:7" x14ac:dyDescent="0.25">
      <c r="A2484" s="1" t="s">
        <v>2700</v>
      </c>
      <c r="B2484" s="2" t="str">
        <f>HYPERLINK("https://www.elsevier.com/locate/issn/2212-540X", "Propulsion and Power Research")</f>
        <v>Propulsion and Power Research</v>
      </c>
      <c r="C2484" s="1" t="s">
        <v>34</v>
      </c>
      <c r="D2484" s="1" t="s">
        <v>324</v>
      </c>
      <c r="E2484" s="1" t="s">
        <v>324</v>
      </c>
      <c r="F2484" s="1" t="s">
        <v>324</v>
      </c>
      <c r="G2484" s="1" t="s">
        <v>324</v>
      </c>
    </row>
    <row r="2485" spans="1:7" x14ac:dyDescent="0.25">
      <c r="A2485" s="1" t="s">
        <v>2701</v>
      </c>
      <c r="B2485" s="2" t="str">
        <f>HYPERLINK("https://www.elsevier.com/locate/issn/1098-8823", "Prostaglandins &amp; Other Lipid Mediators")</f>
        <v>Prostaglandins &amp; Other Lipid Mediators</v>
      </c>
      <c r="C2485" s="1" t="s">
        <v>10</v>
      </c>
      <c r="D2485" s="1">
        <v>3500</v>
      </c>
      <c r="E2485" s="1">
        <v>3270</v>
      </c>
      <c r="F2485" s="1">
        <v>2800</v>
      </c>
      <c r="G2485" s="1">
        <v>434110</v>
      </c>
    </row>
    <row r="2486" spans="1:7" x14ac:dyDescent="0.25">
      <c r="A2486" s="1" t="s">
        <v>2702</v>
      </c>
      <c r="B2486" s="2" t="str">
        <f>HYPERLINK("https://www.elsevier.com/locate/issn/2287-8882", "Prostate International")</f>
        <v>Prostate International</v>
      </c>
      <c r="C2486" s="1" t="s">
        <v>23</v>
      </c>
      <c r="D2486" s="1">
        <v>1800</v>
      </c>
      <c r="E2486" s="1">
        <v>1680</v>
      </c>
      <c r="F2486" s="1">
        <v>1440</v>
      </c>
      <c r="G2486" s="1">
        <v>223250</v>
      </c>
    </row>
    <row r="2487" spans="1:7" x14ac:dyDescent="0.25">
      <c r="A2487" s="1" t="s">
        <v>2703</v>
      </c>
      <c r="B2487" s="2" t="str">
        <f>HYPERLINK("https://www.elsevier.com/locate/issn/1046-5928", "Protein Expression and Purification")</f>
        <v>Protein Expression and Purification</v>
      </c>
      <c r="C2487" s="1" t="s">
        <v>10</v>
      </c>
      <c r="D2487" s="1">
        <v>3680</v>
      </c>
      <c r="E2487" s="1">
        <v>3440</v>
      </c>
      <c r="F2487" s="1">
        <v>2950</v>
      </c>
      <c r="G2487" s="1">
        <v>456430</v>
      </c>
    </row>
    <row r="2488" spans="1:7" x14ac:dyDescent="0.25">
      <c r="A2488" s="1" t="s">
        <v>2704</v>
      </c>
      <c r="B2488" s="2" t="str">
        <f>HYPERLINK("https://www.elsevier.com/locate/issn/1434-4610", "Protist")</f>
        <v>Protist</v>
      </c>
      <c r="C2488" s="1" t="s">
        <v>10</v>
      </c>
      <c r="D2488" s="1">
        <v>3230</v>
      </c>
      <c r="E2488" s="1">
        <v>3020</v>
      </c>
      <c r="F2488" s="1">
        <v>2590</v>
      </c>
      <c r="G2488" s="1">
        <v>400620</v>
      </c>
    </row>
    <row r="2489" spans="1:7" x14ac:dyDescent="0.25">
      <c r="A2489" s="1" t="s">
        <v>2705</v>
      </c>
      <c r="B2489" s="2" t="str">
        <f>HYPERLINK("https://www.elsevier.com/locate/issn/1134-5934", "Psiquiatría Biológica")</f>
        <v>Psiquiatría Biológica</v>
      </c>
      <c r="C2489" s="1" t="s">
        <v>10</v>
      </c>
      <c r="D2489" s="1">
        <v>1750</v>
      </c>
      <c r="E2489" s="1">
        <v>1600</v>
      </c>
      <c r="F2489" s="1">
        <v>1400</v>
      </c>
      <c r="G2489" s="1">
        <v>217050</v>
      </c>
    </row>
    <row r="2490" spans="1:7" x14ac:dyDescent="0.25">
      <c r="A2490" s="1" t="s">
        <v>2706</v>
      </c>
      <c r="B2490" s="2" t="str">
        <f>HYPERLINK("https://www.elsevier.com/locate/issn/2950-4848", "Psychedelics")</f>
        <v>Psychedelics</v>
      </c>
      <c r="C2490" s="1" t="s">
        <v>23</v>
      </c>
      <c r="D2490" s="1">
        <v>2200</v>
      </c>
      <c r="E2490" s="1">
        <v>2060</v>
      </c>
      <c r="F2490" s="1">
        <v>1760</v>
      </c>
      <c r="G2490" s="1">
        <v>272870</v>
      </c>
    </row>
    <row r="2491" spans="1:7" x14ac:dyDescent="0.25">
      <c r="A2491" s="1" t="s">
        <v>2707</v>
      </c>
      <c r="B2491" s="2" t="str">
        <f>HYPERLINK("https://www.elsevier.com/locate/issn/0165-1781", "Psychiatry Research")</f>
        <v>Psychiatry Research</v>
      </c>
      <c r="C2491" s="1" t="s">
        <v>10</v>
      </c>
      <c r="D2491" s="1">
        <v>4230</v>
      </c>
      <c r="E2491" s="1">
        <v>3960</v>
      </c>
      <c r="F2491" s="1">
        <v>3390</v>
      </c>
      <c r="G2491" s="1">
        <v>524650</v>
      </c>
    </row>
    <row r="2492" spans="1:7" x14ac:dyDescent="0.25">
      <c r="A2492" s="1" t="s">
        <v>2708</v>
      </c>
      <c r="B2492" s="2" t="str">
        <f>HYPERLINK("https://www.elsevier.com/locate/issn/2773-0212", "Psychiatry Research Case Reports")</f>
        <v>Psychiatry Research Case Reports</v>
      </c>
      <c r="C2492" s="1" t="s">
        <v>23</v>
      </c>
      <c r="D2492" s="1">
        <v>950</v>
      </c>
      <c r="E2492" s="1">
        <v>890</v>
      </c>
      <c r="F2492" s="1">
        <v>760</v>
      </c>
      <c r="G2492" s="1">
        <v>117830</v>
      </c>
    </row>
    <row r="2493" spans="1:7" x14ac:dyDescent="0.25">
      <c r="A2493" s="1" t="s">
        <v>2709</v>
      </c>
      <c r="B2493" s="2" t="str">
        <f>HYPERLINK("https://www.elsevier.com/locate/issn/2772-5987", "Psychiatry Research Communications")</f>
        <v>Psychiatry Research Communications</v>
      </c>
      <c r="C2493" s="1" t="s">
        <v>23</v>
      </c>
      <c r="D2493" s="1">
        <v>2120</v>
      </c>
      <c r="E2493" s="1">
        <v>1980</v>
      </c>
      <c r="F2493" s="1">
        <v>1700</v>
      </c>
      <c r="G2493" s="1">
        <v>262940</v>
      </c>
    </row>
    <row r="2494" spans="1:7" x14ac:dyDescent="0.25">
      <c r="A2494" s="1" t="s">
        <v>2710</v>
      </c>
      <c r="B2494" s="2" t="str">
        <f>HYPERLINK("https://www.elsevier.com/locate/issn/0925-4927", "Psychiatry Research: Neuroimaging")</f>
        <v>Psychiatry Research: Neuroimaging</v>
      </c>
      <c r="C2494" s="1" t="s">
        <v>10</v>
      </c>
      <c r="D2494" s="1">
        <v>3110</v>
      </c>
      <c r="E2494" s="1">
        <v>2910</v>
      </c>
      <c r="F2494" s="1">
        <v>2490</v>
      </c>
      <c r="G2494" s="1">
        <v>385730</v>
      </c>
    </row>
    <row r="2495" spans="1:7" x14ac:dyDescent="0.25">
      <c r="A2495" s="1" t="s">
        <v>2711</v>
      </c>
      <c r="B2495" s="2" t="str">
        <f>HYPERLINK("https://www.elsevier.com/locate/issn/1420-2530", "Psychologie du Travail et des Organisations")</f>
        <v>Psychologie du Travail et des Organisations</v>
      </c>
      <c r="C2495" s="1" t="s">
        <v>10</v>
      </c>
      <c r="D2495" s="1">
        <v>1390</v>
      </c>
      <c r="E2495" s="1">
        <v>1270</v>
      </c>
      <c r="F2495" s="1">
        <v>1110</v>
      </c>
      <c r="G2495" s="1">
        <v>172400</v>
      </c>
    </row>
    <row r="2496" spans="1:7" x14ac:dyDescent="0.25">
      <c r="A2496" s="1" t="s">
        <v>2712</v>
      </c>
      <c r="B2496" s="2" t="str">
        <f>HYPERLINK("https://www.elsevier.com/locate/issn/1469-0292", "Psychology of Sport and Exercise")</f>
        <v>Psychology of Sport and Exercise</v>
      </c>
      <c r="C2496" s="1" t="s">
        <v>10</v>
      </c>
      <c r="D2496" s="1">
        <v>3570</v>
      </c>
      <c r="E2496" s="1">
        <v>3340</v>
      </c>
      <c r="F2496" s="1">
        <v>2860</v>
      </c>
      <c r="G2496" s="1">
        <v>442790</v>
      </c>
    </row>
    <row r="2497" spans="1:7" x14ac:dyDescent="0.25">
      <c r="A2497" s="1" t="s">
        <v>2713</v>
      </c>
      <c r="B2497" s="2" t="str">
        <f>HYPERLINK("https://www.elsevier.com/locate/issn/0306-4530", "Psychoneuroendocrinology")</f>
        <v>Psychoneuroendocrinology</v>
      </c>
      <c r="C2497" s="1" t="s">
        <v>10</v>
      </c>
      <c r="D2497" s="1">
        <v>3830</v>
      </c>
      <c r="E2497" s="1">
        <v>3580</v>
      </c>
      <c r="F2497" s="1">
        <v>3070</v>
      </c>
      <c r="G2497" s="1">
        <v>475030</v>
      </c>
    </row>
    <row r="2498" spans="1:7" x14ac:dyDescent="0.25">
      <c r="A2498" s="1" t="s">
        <v>2714</v>
      </c>
      <c r="B2498" s="2" t="str">
        <f>HYPERLINK("https://www.elsevier.com/locate/issn/0033-3506", "Public Health")</f>
        <v>Public Health</v>
      </c>
      <c r="C2498" s="1" t="s">
        <v>10</v>
      </c>
      <c r="D2498" s="1">
        <v>3130</v>
      </c>
      <c r="E2498" s="1">
        <v>2930</v>
      </c>
      <c r="F2498" s="1">
        <v>2510</v>
      </c>
      <c r="G2498" s="1">
        <v>388210</v>
      </c>
    </row>
    <row r="2499" spans="1:7" x14ac:dyDescent="0.25">
      <c r="A2499" s="1" t="s">
        <v>2715</v>
      </c>
      <c r="B2499" s="2" t="str">
        <f>HYPERLINK("https://www.elsevier.com/locate/issn/2666-5352", "Public Health in Practice")</f>
        <v>Public Health in Practice</v>
      </c>
      <c r="C2499" s="1" t="s">
        <v>23</v>
      </c>
      <c r="D2499" s="1">
        <v>2060</v>
      </c>
      <c r="E2499" s="1">
        <v>1930</v>
      </c>
      <c r="F2499" s="1">
        <v>1650</v>
      </c>
      <c r="G2499" s="1">
        <v>255500</v>
      </c>
    </row>
    <row r="2500" spans="1:7" x14ac:dyDescent="0.25">
      <c r="A2500" s="1" t="s">
        <v>2716</v>
      </c>
      <c r="B2500" s="2" t="str">
        <f>HYPERLINK("https://www.elsevier.com/locate/issn/0363-8111", "Public Relations Review")</f>
        <v>Public Relations Review</v>
      </c>
      <c r="C2500" s="1" t="s">
        <v>10</v>
      </c>
      <c r="D2500" s="1">
        <v>4610</v>
      </c>
      <c r="E2500" s="1">
        <v>4310</v>
      </c>
      <c r="F2500" s="1">
        <v>3690</v>
      </c>
      <c r="G2500" s="1">
        <v>571780</v>
      </c>
    </row>
    <row r="2501" spans="1:7" x14ac:dyDescent="0.25">
      <c r="A2501" s="1" t="s">
        <v>2717</v>
      </c>
      <c r="B2501" s="2" t="str">
        <f>HYPERLINK("https://www.elsevier.com/locate/issn/1094-5539", "Pulmonary Pharmacology &amp; Therapeutics")</f>
        <v>Pulmonary Pharmacology &amp; Therapeutics</v>
      </c>
      <c r="C2501" s="1" t="s">
        <v>10</v>
      </c>
      <c r="D2501" s="1">
        <v>3730</v>
      </c>
      <c r="E2501" s="1">
        <v>3490</v>
      </c>
      <c r="F2501" s="1">
        <v>2990</v>
      </c>
      <c r="G2501" s="1">
        <v>462630</v>
      </c>
    </row>
    <row r="2502" spans="1:7" x14ac:dyDescent="0.25">
      <c r="A2502" s="1" t="s">
        <v>2718</v>
      </c>
      <c r="B2502" s="2" t="str">
        <f>HYPERLINK("https://www.elsevier.com/locate/issn/2531-0437", "Pulmonology")</f>
        <v>Pulmonology</v>
      </c>
      <c r="C2502" s="1" t="s">
        <v>34</v>
      </c>
      <c r="D2502" s="1" t="s">
        <v>324</v>
      </c>
      <c r="E2502" s="1" t="s">
        <v>324</v>
      </c>
      <c r="F2502" s="1" t="s">
        <v>324</v>
      </c>
      <c r="G2502" s="1" t="s">
        <v>324</v>
      </c>
    </row>
    <row r="2503" spans="1:7" x14ac:dyDescent="0.25">
      <c r="A2503" s="1" t="s">
        <v>2719</v>
      </c>
      <c r="B2503" s="2" t="str">
        <f>HYPERLINK("https://www.elsevier.com/locate/issn/2532-2044", "Qualitative Research in Medicine &amp; Healthcare")</f>
        <v>Qualitative Research in Medicine &amp; Healthcare</v>
      </c>
      <c r="C2503" s="1" t="s">
        <v>34</v>
      </c>
      <c r="D2503" s="1">
        <v>900</v>
      </c>
      <c r="E2503" s="1">
        <v>840</v>
      </c>
      <c r="F2503" s="1">
        <v>720</v>
      </c>
      <c r="G2503" s="1">
        <v>111630</v>
      </c>
    </row>
    <row r="2504" spans="1:7" x14ac:dyDescent="0.25">
      <c r="A2504" s="1" t="s">
        <v>2720</v>
      </c>
      <c r="B2504" s="2" t="str">
        <f>HYPERLINK("https://www.elsevier.com/locate/issn/3050-4910", "Quantum Review Letters")</f>
        <v>Quantum Review Letters</v>
      </c>
      <c r="C2504" s="1" t="s">
        <v>34</v>
      </c>
      <c r="D2504" s="1" t="s">
        <v>324</v>
      </c>
      <c r="E2504" s="1" t="s">
        <v>324</v>
      </c>
      <c r="F2504" s="1" t="s">
        <v>324</v>
      </c>
      <c r="G2504" s="1" t="s">
        <v>324</v>
      </c>
    </row>
    <row r="2505" spans="1:7" x14ac:dyDescent="0.25">
      <c r="A2505" s="1" t="s">
        <v>2721</v>
      </c>
      <c r="B2505" s="2" t="str">
        <f>HYPERLINK("https://www.elsevier.com/locate/issn/2950-2365", "Quaternary Environments and Humans")</f>
        <v>Quaternary Environments and Humans</v>
      </c>
      <c r="C2505" s="1" t="s">
        <v>23</v>
      </c>
      <c r="D2505" s="1">
        <v>1700</v>
      </c>
      <c r="E2505" s="1">
        <v>1590</v>
      </c>
      <c r="F2505" s="1">
        <v>1360</v>
      </c>
      <c r="G2505" s="1">
        <v>210850</v>
      </c>
    </row>
    <row r="2506" spans="1:7" x14ac:dyDescent="0.25">
      <c r="A2506" s="1" t="s">
        <v>2722</v>
      </c>
      <c r="B2506" s="2" t="str">
        <f>HYPERLINK("https://www.elsevier.com/locate/issn/1871-1014", "Quaternary Geochronology")</f>
        <v>Quaternary Geochronology</v>
      </c>
      <c r="C2506" s="1" t="s">
        <v>10</v>
      </c>
      <c r="D2506" s="1">
        <v>3350</v>
      </c>
      <c r="E2506" s="1">
        <v>3130</v>
      </c>
      <c r="F2506" s="1">
        <v>2680</v>
      </c>
      <c r="G2506" s="1">
        <v>415500</v>
      </c>
    </row>
    <row r="2507" spans="1:7" x14ac:dyDescent="0.25">
      <c r="A2507" s="1" t="s">
        <v>2723</v>
      </c>
      <c r="B2507" s="2" t="str">
        <f>HYPERLINK("https://www.elsevier.com/locate/issn/1040-6182", "Quaternary International")</f>
        <v>Quaternary International</v>
      </c>
      <c r="C2507" s="1" t="s">
        <v>10</v>
      </c>
      <c r="D2507" s="1">
        <v>3400</v>
      </c>
      <c r="E2507" s="1">
        <v>3180</v>
      </c>
      <c r="F2507" s="1">
        <v>2720</v>
      </c>
      <c r="G2507" s="1">
        <v>421700</v>
      </c>
    </row>
    <row r="2508" spans="1:7" x14ac:dyDescent="0.25">
      <c r="A2508" s="1" t="s">
        <v>2724</v>
      </c>
      <c r="B2508" s="2" t="str">
        <f>HYPERLINK("https://www.elsevier.com/locate/issn/2666-0334", "Quaternary Science Advances")</f>
        <v>Quaternary Science Advances</v>
      </c>
      <c r="C2508" s="1" t="s">
        <v>23</v>
      </c>
      <c r="D2508" s="1">
        <v>1760</v>
      </c>
      <c r="E2508" s="1">
        <v>1650</v>
      </c>
      <c r="F2508" s="1">
        <v>1410</v>
      </c>
      <c r="G2508" s="1">
        <v>218290</v>
      </c>
    </row>
    <row r="2509" spans="1:7" x14ac:dyDescent="0.25">
      <c r="A2509" s="1" t="s">
        <v>2725</v>
      </c>
      <c r="B2509" s="2" t="str">
        <f>HYPERLINK("https://www.elsevier.com/locate/issn/0277-3791", "Quaternary Science Reviews")</f>
        <v>Quaternary Science Reviews</v>
      </c>
      <c r="C2509" s="1" t="s">
        <v>10</v>
      </c>
      <c r="D2509" s="1">
        <v>3920</v>
      </c>
      <c r="E2509" s="1">
        <v>3670</v>
      </c>
      <c r="F2509" s="1">
        <v>3140</v>
      </c>
      <c r="G2509" s="1">
        <v>486200</v>
      </c>
    </row>
    <row r="2510" spans="1:7" x14ac:dyDescent="0.25">
      <c r="A2510" s="1" t="s">
        <v>2726</v>
      </c>
      <c r="B2510" s="2" t="str">
        <f>HYPERLINK("https://www.elsevier.com/locate/issn/1350-4487", "Radiation Measurements")</f>
        <v>Radiation Measurements</v>
      </c>
      <c r="C2510" s="1" t="s">
        <v>10</v>
      </c>
      <c r="D2510" s="1">
        <v>3690</v>
      </c>
      <c r="E2510" s="1">
        <v>3450</v>
      </c>
      <c r="F2510" s="1">
        <v>2950</v>
      </c>
      <c r="G2510" s="1">
        <v>457670</v>
      </c>
    </row>
    <row r="2511" spans="1:7" x14ac:dyDescent="0.25">
      <c r="A2511" s="1" t="s">
        <v>2727</v>
      </c>
      <c r="B2511" s="2" t="str">
        <f>HYPERLINK("https://www.elsevier.com/locate/issn/2666-5557", "Radiation Medicine and Protection")</f>
        <v>Radiation Medicine and Protection</v>
      </c>
      <c r="C2511" s="1" t="s">
        <v>23</v>
      </c>
      <c r="D2511" s="1">
        <v>2000</v>
      </c>
      <c r="E2511" s="1">
        <v>1870</v>
      </c>
      <c r="F2511" s="1">
        <v>1600</v>
      </c>
      <c r="G2511" s="1">
        <v>248060</v>
      </c>
    </row>
    <row r="2512" spans="1:7" x14ac:dyDescent="0.25">
      <c r="A2512" s="1" t="s">
        <v>2728</v>
      </c>
      <c r="B2512" s="2" t="str">
        <f>HYPERLINK("https://www.elsevier.com/locate/issn/0969-806X", "Radiation Physics and Chemistry")</f>
        <v>Radiation Physics and Chemistry</v>
      </c>
      <c r="C2512" s="1" t="s">
        <v>10</v>
      </c>
      <c r="D2512" s="1">
        <v>3530</v>
      </c>
      <c r="E2512" s="1">
        <v>3300</v>
      </c>
      <c r="F2512" s="1">
        <v>2830</v>
      </c>
      <c r="G2512" s="1">
        <v>437830</v>
      </c>
    </row>
    <row r="2513" spans="1:7" x14ac:dyDescent="0.25">
      <c r="A2513" s="1" t="s">
        <v>2729</v>
      </c>
      <c r="B2513" s="2" t="str">
        <f>HYPERLINK("https://www.elsevier.com/locate/issn/1078-8174", "Radiography")</f>
        <v>Radiography</v>
      </c>
      <c r="C2513" s="1" t="s">
        <v>10</v>
      </c>
      <c r="D2513" s="1">
        <v>2990</v>
      </c>
      <c r="E2513" s="1">
        <v>2800</v>
      </c>
      <c r="F2513" s="1">
        <v>2390</v>
      </c>
      <c r="G2513" s="1">
        <v>370850</v>
      </c>
    </row>
    <row r="2514" spans="1:7" x14ac:dyDescent="0.25">
      <c r="A2514" s="1" t="s">
        <v>2730</v>
      </c>
      <c r="B2514" s="2" t="str">
        <f>HYPERLINK("https://www.elsevier.com/locate/issn/1930-0433", "Radiology Case Reports")</f>
        <v>Radiology Case Reports</v>
      </c>
      <c r="C2514" s="1" t="s">
        <v>23</v>
      </c>
      <c r="D2514" s="1">
        <v>600</v>
      </c>
      <c r="E2514" s="1">
        <v>560</v>
      </c>
      <c r="F2514" s="1">
        <v>480</v>
      </c>
      <c r="G2514" s="1">
        <v>74420</v>
      </c>
    </row>
    <row r="2515" spans="1:7" x14ac:dyDescent="0.25">
      <c r="A2515" s="1" t="s">
        <v>2731</v>
      </c>
      <c r="B2515" s="2" t="str">
        <f>HYPERLINK("https://www.elsevier.com/locate/issn/0033-8338", "Radiología")</f>
        <v>Radiología</v>
      </c>
      <c r="C2515" s="1" t="s">
        <v>10</v>
      </c>
      <c r="D2515" s="1">
        <v>2500</v>
      </c>
      <c r="E2515" s="1">
        <v>2340</v>
      </c>
      <c r="F2515" s="1">
        <v>2000</v>
      </c>
      <c r="G2515" s="1">
        <v>310080</v>
      </c>
    </row>
    <row r="2516" spans="1:7" x14ac:dyDescent="0.25">
      <c r="A2516" s="1" t="s">
        <v>2732</v>
      </c>
      <c r="B2516" s="2" t="str">
        <f>HYPERLINK("https://www.elsevier.com/locate/issn/2173-5107", "Radiología (English Edition)")</f>
        <v>Radiología (English Edition)</v>
      </c>
      <c r="C2516" s="1" t="s">
        <v>10</v>
      </c>
      <c r="D2516" s="1">
        <v>2500</v>
      </c>
      <c r="E2516" s="1">
        <v>2340</v>
      </c>
      <c r="F2516" s="1">
        <v>2000</v>
      </c>
      <c r="G2516" s="1">
        <v>310260</v>
      </c>
    </row>
    <row r="2517" spans="1:7" x14ac:dyDescent="0.25">
      <c r="A2517" s="1" t="s">
        <v>2733</v>
      </c>
      <c r="B2517" s="2" t="str">
        <f>HYPERLINK("https://www.elsevier.com/locate/issn/0167-8140", "Radiotherapy and Oncology")</f>
        <v>Radiotherapy and Oncology</v>
      </c>
      <c r="C2517" s="1" t="s">
        <v>10</v>
      </c>
      <c r="D2517" s="1">
        <v>3770</v>
      </c>
      <c r="E2517" s="1">
        <v>3440</v>
      </c>
      <c r="F2517" s="1">
        <v>3020</v>
      </c>
      <c r="G2517" s="1">
        <v>467590</v>
      </c>
    </row>
    <row r="2518" spans="1:7" x14ac:dyDescent="0.25">
      <c r="A2518" s="1" t="s">
        <v>2734</v>
      </c>
      <c r="B2518" s="2" t="str">
        <f>HYPERLINK("https://www.elsevier.com/locate/issn/1550-7424", "Rangeland Ecology &amp; Management")</f>
        <v>Rangeland Ecology &amp; Management</v>
      </c>
      <c r="C2518" s="1" t="s">
        <v>10</v>
      </c>
      <c r="D2518" s="1">
        <v>2730</v>
      </c>
      <c r="E2518" s="1">
        <v>2550</v>
      </c>
      <c r="F2518" s="1">
        <v>2190</v>
      </c>
      <c r="G2518" s="1">
        <v>338600</v>
      </c>
    </row>
    <row r="2519" spans="1:7" x14ac:dyDescent="0.25">
      <c r="A2519" s="1" t="s">
        <v>2735</v>
      </c>
      <c r="B2519" s="2" t="str">
        <f>HYPERLINK("https://www.elsevier.com/locate/issn/0190-0528", "Rangelands")</f>
        <v>Rangelands</v>
      </c>
      <c r="C2519" s="1" t="s">
        <v>10</v>
      </c>
      <c r="D2519" s="1">
        <v>1500</v>
      </c>
      <c r="E2519" s="1">
        <v>1400</v>
      </c>
      <c r="F2519" s="1">
        <v>1200</v>
      </c>
      <c r="G2519" s="1">
        <v>186050</v>
      </c>
    </row>
    <row r="2520" spans="1:7" x14ac:dyDescent="0.25">
      <c r="A2520" s="1" t="s">
        <v>2736</v>
      </c>
      <c r="B2520" s="2" t="str">
        <f>HYPERLINK("https://www.elsevier.com/locate/issn/2950-0087", "Rare")</f>
        <v>Rare</v>
      </c>
      <c r="C2520" s="1" t="s">
        <v>23</v>
      </c>
      <c r="D2520" s="1">
        <v>1740</v>
      </c>
      <c r="E2520" s="1">
        <v>1630</v>
      </c>
      <c r="F2520" s="1">
        <v>1390</v>
      </c>
      <c r="G2520" s="1">
        <v>215810</v>
      </c>
    </row>
    <row r="2521" spans="1:7" x14ac:dyDescent="0.25">
      <c r="A2521" s="1" t="s">
        <v>2737</v>
      </c>
      <c r="B2521" s="2" t="str">
        <f>HYPERLINK("https://www.elsevier.com/locate/issn/1381-5148", "Reactive and Functional Polymers")</f>
        <v>Reactive and Functional Polymers</v>
      </c>
      <c r="C2521" s="1" t="s">
        <v>10</v>
      </c>
      <c r="D2521" s="1">
        <v>3920</v>
      </c>
      <c r="E2521" s="1">
        <v>3670</v>
      </c>
      <c r="F2521" s="1">
        <v>3140</v>
      </c>
      <c r="G2521" s="1">
        <v>486200</v>
      </c>
    </row>
    <row r="2522" spans="1:7" x14ac:dyDescent="0.25">
      <c r="A2522" s="1" t="s">
        <v>2738</v>
      </c>
      <c r="B2522" s="2" t="str">
        <f>HYPERLINK("https://www.elsevier.com/locate/issn/2605-1532", "REC: CardioClinics")</f>
        <v>REC: CardioClinics</v>
      </c>
      <c r="C2522" s="1" t="s">
        <v>10</v>
      </c>
      <c r="D2522" s="1">
        <v>2030</v>
      </c>
      <c r="E2522" s="1">
        <v>1900</v>
      </c>
      <c r="F2522" s="1">
        <v>1630</v>
      </c>
      <c r="G2522" s="1">
        <v>251780</v>
      </c>
    </row>
    <row r="2523" spans="1:7" x14ac:dyDescent="0.25">
      <c r="A2523" s="1" t="s">
        <v>2739</v>
      </c>
      <c r="B2523" s="2" t="str">
        <f>HYPERLINK("https://www.elsevier.com/locate/issn/2773-1766", "Redox Biochemistry and Chemistry")</f>
        <v>Redox Biochemistry and Chemistry</v>
      </c>
      <c r="C2523" s="1" t="s">
        <v>23</v>
      </c>
      <c r="D2523" s="1">
        <v>1540</v>
      </c>
      <c r="E2523" s="1">
        <v>1440</v>
      </c>
      <c r="F2523" s="1">
        <v>1230</v>
      </c>
      <c r="G2523" s="1">
        <v>191010</v>
      </c>
    </row>
    <row r="2524" spans="1:7" x14ac:dyDescent="0.25">
      <c r="A2524" s="1" t="s">
        <v>2740</v>
      </c>
      <c r="B2524" s="2" t="str">
        <f>HYPERLINK("https://www.elsevier.com/locate/issn/2213-2317", "Redox Biology")</f>
        <v>Redox Biology</v>
      </c>
      <c r="C2524" s="1" t="s">
        <v>23</v>
      </c>
      <c r="D2524" s="1">
        <v>4310</v>
      </c>
      <c r="E2524" s="1">
        <v>4030</v>
      </c>
      <c r="F2524" s="1">
        <v>3450</v>
      </c>
      <c r="G2524" s="1">
        <v>534570</v>
      </c>
    </row>
    <row r="2525" spans="1:7" x14ac:dyDescent="0.25">
      <c r="A2525" s="1" t="s">
        <v>2741</v>
      </c>
      <c r="B2525" s="2" t="str">
        <f>HYPERLINK("https://www.elsevier.com/locate/issn/2352-3204", "Regenerative Therapy")</f>
        <v>Regenerative Therapy</v>
      </c>
      <c r="C2525" s="1" t="s">
        <v>23</v>
      </c>
      <c r="D2525" s="1">
        <v>1800</v>
      </c>
      <c r="E2525" s="1">
        <v>1680</v>
      </c>
      <c r="F2525" s="1">
        <v>1440</v>
      </c>
      <c r="G2525" s="1">
        <v>223250</v>
      </c>
    </row>
    <row r="2526" spans="1:7" x14ac:dyDescent="0.25">
      <c r="A2526" s="1" t="s">
        <v>2742</v>
      </c>
      <c r="B2526" s="2" t="str">
        <f>HYPERLINK("https://www.elsevier.com/locate/issn/2950-5755", "Regenesis Repair Rehabilitation")</f>
        <v>Regenesis Repair Rehabilitation</v>
      </c>
      <c r="C2526" s="1" t="s">
        <v>34</v>
      </c>
      <c r="D2526" s="1" t="s">
        <v>324</v>
      </c>
      <c r="E2526" s="1" t="s">
        <v>324</v>
      </c>
      <c r="F2526" s="1" t="s">
        <v>324</v>
      </c>
      <c r="G2526" s="1" t="s">
        <v>324</v>
      </c>
    </row>
    <row r="2527" spans="1:7" x14ac:dyDescent="0.25">
      <c r="A2527" s="1" t="s">
        <v>2743</v>
      </c>
      <c r="B2527" s="2" t="str">
        <f>HYPERLINK("https://www.elsevier.com/locate/issn/0166-0462", "Regional Science and Urban Economics")</f>
        <v>Regional Science and Urban Economics</v>
      </c>
      <c r="C2527" s="1" t="s">
        <v>10</v>
      </c>
      <c r="D2527" s="1">
        <v>3600</v>
      </c>
      <c r="E2527" s="1">
        <v>3370</v>
      </c>
      <c r="F2527" s="1">
        <v>2880</v>
      </c>
      <c r="G2527" s="1">
        <v>446510</v>
      </c>
    </row>
    <row r="2528" spans="1:7" x14ac:dyDescent="0.25">
      <c r="A2528" s="1" t="s">
        <v>2744</v>
      </c>
      <c r="B2528" s="2" t="str">
        <f>HYPERLINK("https://www.elsevier.com/locate/issn/1757-7802", "Regional Science Policy &amp; Practice")</f>
        <v>Regional Science Policy &amp; Practice</v>
      </c>
      <c r="C2528" s="1" t="s">
        <v>23</v>
      </c>
      <c r="D2528" s="1">
        <v>1596</v>
      </c>
      <c r="E2528" s="1">
        <v>1460</v>
      </c>
      <c r="F2528" s="1">
        <v>1280</v>
      </c>
      <c r="G2528" s="1">
        <v>217050</v>
      </c>
    </row>
    <row r="2529" spans="1:7" x14ac:dyDescent="0.25">
      <c r="A2529" s="1" t="s">
        <v>2745</v>
      </c>
      <c r="B2529" s="2" t="str">
        <f>HYPERLINK("https://www.elsevier.com/locate/issn/2352-4855", "Regional Studies in Marine Science")</f>
        <v>Regional Studies in Marine Science</v>
      </c>
      <c r="C2529" s="1" t="s">
        <v>10</v>
      </c>
      <c r="D2529" s="1">
        <v>3030</v>
      </c>
      <c r="E2529" s="1">
        <v>2830</v>
      </c>
      <c r="F2529" s="1">
        <v>2430</v>
      </c>
      <c r="G2529" s="1">
        <v>375810</v>
      </c>
    </row>
    <row r="2530" spans="1:7" x14ac:dyDescent="0.25">
      <c r="A2530" s="1" t="s">
        <v>2746</v>
      </c>
      <c r="B2530" s="2" t="str">
        <f>HYPERLINK("https://www.elsevier.com/locate/issn/2666-660X", "Regional Sustainability")</f>
        <v>Regional Sustainability</v>
      </c>
      <c r="C2530" s="1" t="s">
        <v>34</v>
      </c>
      <c r="D2530" s="1" t="s">
        <v>324</v>
      </c>
      <c r="E2530" s="1" t="s">
        <v>324</v>
      </c>
      <c r="F2530" s="1" t="s">
        <v>324</v>
      </c>
      <c r="G2530" s="1" t="s">
        <v>324</v>
      </c>
    </row>
    <row r="2531" spans="1:7" x14ac:dyDescent="0.25">
      <c r="A2531" s="1" t="s">
        <v>2747</v>
      </c>
      <c r="B2531" s="2" t="str">
        <f>HYPERLINK("https://www.elsevier.com/locate/issn/0273-2300", "Regulatory Toxicology and Pharmacology")</f>
        <v>Regulatory Toxicology and Pharmacology</v>
      </c>
      <c r="C2531" s="1" t="s">
        <v>10</v>
      </c>
      <c r="D2531" s="1">
        <v>4210</v>
      </c>
      <c r="E2531" s="1">
        <v>3940</v>
      </c>
      <c r="F2531" s="1">
        <v>3370</v>
      </c>
      <c r="G2531" s="1">
        <v>522170</v>
      </c>
    </row>
    <row r="2532" spans="1:7" x14ac:dyDescent="0.25">
      <c r="A2532" s="1" t="s">
        <v>2748</v>
      </c>
      <c r="B2532" s="2" t="str">
        <f>HYPERLINK("https://www.elsevier.com/locate/issn/0048-7120", "Rehabilitación")</f>
        <v>Rehabilitación</v>
      </c>
      <c r="C2532" s="1" t="s">
        <v>10</v>
      </c>
      <c r="D2532" s="1">
        <v>2730</v>
      </c>
      <c r="E2532" s="1">
        <v>2550</v>
      </c>
      <c r="F2532" s="1">
        <v>2190</v>
      </c>
      <c r="G2532" s="1">
        <v>338600</v>
      </c>
    </row>
    <row r="2533" spans="1:7" x14ac:dyDescent="0.25">
      <c r="A2533" s="1" t="s">
        <v>2749</v>
      </c>
      <c r="B2533" s="2" t="str">
        <f>HYPERLINK("https://www.elsevier.com/locate/issn/0951-8320", "Reliability Engineering &amp; System Safety")</f>
        <v>Reliability Engineering &amp; System Safety</v>
      </c>
      <c r="C2533" s="1" t="s">
        <v>10</v>
      </c>
      <c r="D2533" s="1">
        <v>4830</v>
      </c>
      <c r="E2533" s="1">
        <v>4520</v>
      </c>
      <c r="F2533" s="1">
        <v>3870</v>
      </c>
      <c r="G2533" s="1">
        <v>599060</v>
      </c>
    </row>
    <row r="2534" spans="1:7" x14ac:dyDescent="0.25">
      <c r="A2534" s="1" t="s">
        <v>2750</v>
      </c>
      <c r="B2534" s="2" t="str">
        <f>HYPERLINK("https://www.elsevier.com/locate/issn/2352-9385", "Remote Sensing Applications: Society and Environment")</f>
        <v>Remote Sensing Applications: Society and Environment</v>
      </c>
      <c r="C2534" s="1" t="s">
        <v>10</v>
      </c>
      <c r="D2534" s="1">
        <v>2640</v>
      </c>
      <c r="E2534" s="1">
        <v>2470</v>
      </c>
      <c r="F2534" s="1">
        <v>2110</v>
      </c>
      <c r="G2534" s="1">
        <v>327440</v>
      </c>
    </row>
    <row r="2535" spans="1:7" x14ac:dyDescent="0.25">
      <c r="A2535" s="1" t="s">
        <v>2751</v>
      </c>
      <c r="B2535" s="2" t="str">
        <f>HYPERLINK("https://www.elsevier.com/locate/issn/0034-4257", "Remote Sensing of Environment")</f>
        <v>Remote Sensing of Environment</v>
      </c>
      <c r="C2535" s="1" t="s">
        <v>10</v>
      </c>
      <c r="D2535" s="1">
        <v>4450</v>
      </c>
      <c r="E2535" s="1">
        <v>4160</v>
      </c>
      <c r="F2535" s="1">
        <v>3560</v>
      </c>
      <c r="G2535" s="1">
        <v>551930</v>
      </c>
    </row>
    <row r="2536" spans="1:7" x14ac:dyDescent="0.25">
      <c r="A2536" s="1" t="s">
        <v>2752</v>
      </c>
      <c r="B2536" s="2" t="str">
        <f>HYPERLINK("https://www.elsevier.com/locate/issn/1364-0321", "Renewable and Sustainable Energy Reviews")</f>
        <v>Renewable and Sustainable Energy Reviews</v>
      </c>
      <c r="C2536" s="1" t="s">
        <v>10</v>
      </c>
      <c r="D2536" s="1">
        <v>5220</v>
      </c>
      <c r="E2536" s="1">
        <v>4880</v>
      </c>
      <c r="F2536" s="1">
        <v>4180</v>
      </c>
      <c r="G2536" s="1">
        <v>647440</v>
      </c>
    </row>
    <row r="2537" spans="1:7" x14ac:dyDescent="0.25">
      <c r="A2537" s="1" t="s">
        <v>2753</v>
      </c>
      <c r="B2537" s="2" t="str">
        <f>HYPERLINK("https://www.elsevier.com/locate/issn/2667-095X", "Renewable and Sustainable Energy Transition")</f>
        <v>Renewable and Sustainable Energy Transition</v>
      </c>
      <c r="C2537" s="1" t="s">
        <v>23</v>
      </c>
      <c r="D2537" s="1">
        <v>2540</v>
      </c>
      <c r="E2537" s="1">
        <v>2380</v>
      </c>
      <c r="F2537" s="1">
        <v>2030</v>
      </c>
      <c r="G2537" s="1">
        <v>315040</v>
      </c>
    </row>
    <row r="2538" spans="1:7" x14ac:dyDescent="0.25">
      <c r="A2538" s="1" t="s">
        <v>2754</v>
      </c>
      <c r="B2538" s="2" t="str">
        <f>HYPERLINK("https://www.elsevier.com/locate/issn/0960-1481", "Renewable Energy")</f>
        <v>Renewable Energy</v>
      </c>
      <c r="C2538" s="1" t="s">
        <v>10</v>
      </c>
      <c r="D2538" s="1">
        <v>4460</v>
      </c>
      <c r="E2538" s="1">
        <v>4170</v>
      </c>
      <c r="F2538" s="1">
        <v>3570</v>
      </c>
      <c r="G2538" s="1">
        <v>553170</v>
      </c>
    </row>
    <row r="2539" spans="1:7" x14ac:dyDescent="0.25">
      <c r="A2539" s="1" t="s">
        <v>2755</v>
      </c>
      <c r="B2539" s="2" t="str">
        <f>HYPERLINK("https://www.elsevier.com/locate/issn/1755-0084", "Renewable Energy Focus")</f>
        <v>Renewable Energy Focus</v>
      </c>
      <c r="C2539" s="1" t="s">
        <v>10</v>
      </c>
      <c r="D2539" s="1">
        <v>1790</v>
      </c>
      <c r="E2539" s="1">
        <v>1670</v>
      </c>
      <c r="F2539" s="1">
        <v>1430</v>
      </c>
      <c r="G2539" s="1">
        <v>222010</v>
      </c>
    </row>
    <row r="2540" spans="1:7" x14ac:dyDescent="0.25">
      <c r="A2540" s="1" t="s">
        <v>2756</v>
      </c>
      <c r="B2540" s="2" t="str">
        <f>HYPERLINK("https://www.elsevier.com/locate/issn/2950-208X", "Renewable Energy System and Equipment")</f>
        <v>Renewable Energy System and Equipment</v>
      </c>
      <c r="C2540" s="1" t="s">
        <v>34</v>
      </c>
      <c r="D2540" s="1" t="s">
        <v>324</v>
      </c>
      <c r="E2540" s="1" t="s">
        <v>324</v>
      </c>
      <c r="F2540" s="1" t="s">
        <v>324</v>
      </c>
      <c r="G2540" s="1" t="s">
        <v>324</v>
      </c>
    </row>
    <row r="2541" spans="1:7" x14ac:dyDescent="0.25">
      <c r="A2541" s="1" t="s">
        <v>2757</v>
      </c>
      <c r="B2541" s="2" t="str">
        <f>HYPERLINK("https://www.elsevier.com/locate/issn/2667-0712", "Reproduction and Breeding")</f>
        <v>Reproduction and Breeding</v>
      </c>
      <c r="C2541" s="1" t="s">
        <v>34</v>
      </c>
      <c r="D2541" s="1">
        <v>700</v>
      </c>
      <c r="E2541" s="1">
        <v>650</v>
      </c>
      <c r="F2541" s="1">
        <v>560</v>
      </c>
      <c r="G2541" s="1">
        <v>86820</v>
      </c>
    </row>
    <row r="2542" spans="1:7" x14ac:dyDescent="0.25">
      <c r="A2542" s="1" t="s">
        <v>2758</v>
      </c>
      <c r="B2542" s="2" t="str">
        <f>HYPERLINK("https://www.elsevier.com/locate/issn/1642-431X", "Reproductive Biology")</f>
        <v>Reproductive Biology</v>
      </c>
      <c r="C2542" s="1" t="s">
        <v>10</v>
      </c>
      <c r="D2542" s="1">
        <v>2750</v>
      </c>
      <c r="E2542" s="1">
        <v>2570</v>
      </c>
      <c r="F2542" s="1">
        <v>2200</v>
      </c>
      <c r="G2542" s="1">
        <v>341080</v>
      </c>
    </row>
    <row r="2543" spans="1:7" x14ac:dyDescent="0.25">
      <c r="A2543" s="1" t="s">
        <v>2759</v>
      </c>
      <c r="B2543" s="2" t="str">
        <f>HYPERLINK("https://www.elsevier.com/locate/issn/1472-6483", "Reproductive BioMedicine Online")</f>
        <v>Reproductive BioMedicine Online</v>
      </c>
      <c r="C2543" s="1" t="s">
        <v>10</v>
      </c>
      <c r="D2543" s="1">
        <v>3850</v>
      </c>
      <c r="E2543" s="1">
        <v>3600</v>
      </c>
      <c r="F2543" s="1">
        <v>3080</v>
      </c>
      <c r="G2543" s="1">
        <v>477520</v>
      </c>
    </row>
    <row r="2544" spans="1:7" x14ac:dyDescent="0.25">
      <c r="A2544" s="1" t="s">
        <v>2760</v>
      </c>
      <c r="B2544" s="2" t="str">
        <f>HYPERLINK("https://www.elsevier.com/locate/issn/0890-6238", "Reproductive Toxicology")</f>
        <v>Reproductive Toxicology</v>
      </c>
      <c r="C2544" s="1" t="s">
        <v>10</v>
      </c>
      <c r="D2544" s="1">
        <v>3800</v>
      </c>
      <c r="E2544" s="1">
        <v>3550</v>
      </c>
      <c r="F2544" s="1">
        <v>3040</v>
      </c>
      <c r="G2544" s="1">
        <v>471310</v>
      </c>
    </row>
    <row r="2545" spans="1:7" x14ac:dyDescent="0.25">
      <c r="A2545" s="1" t="s">
        <v>2761</v>
      </c>
      <c r="B2545" s="2" t="str">
        <f>HYPERLINK("https://www.elsevier.com/locate/issn/2475-0379", "Research and Practice in Thrombosis and Haemostasis")</f>
        <v>Research and Practice in Thrombosis and Haemostasis</v>
      </c>
      <c r="C2545" s="1" t="s">
        <v>23</v>
      </c>
      <c r="D2545" s="1">
        <v>2250</v>
      </c>
      <c r="E2545" s="1">
        <v>2100</v>
      </c>
      <c r="F2545" s="1">
        <v>1800</v>
      </c>
      <c r="G2545" s="1">
        <v>279070</v>
      </c>
    </row>
    <row r="2546" spans="1:7" x14ac:dyDescent="0.25">
      <c r="A2546" s="1" t="s">
        <v>2762</v>
      </c>
      <c r="B2546" s="2" t="str">
        <f>HYPERLINK("https://www.elsevier.com/locate/issn/3050-6565", "Research in Autism")</f>
        <v>Research in Autism</v>
      </c>
      <c r="C2546" s="1" t="s">
        <v>10</v>
      </c>
      <c r="D2546" s="1">
        <v>3410</v>
      </c>
      <c r="E2546" s="1">
        <v>3190</v>
      </c>
      <c r="F2546" s="1">
        <v>2730</v>
      </c>
      <c r="G2546" s="1">
        <v>422940</v>
      </c>
    </row>
    <row r="2547" spans="1:7" x14ac:dyDescent="0.25">
      <c r="A2547" s="1" t="s">
        <v>2763</v>
      </c>
      <c r="B2547" s="2" t="str">
        <f>HYPERLINK("https://www.elsevier.com/locate/issn/2097-1583", "Research in Cold and Arid Regions")</f>
        <v>Research in Cold and Arid Regions</v>
      </c>
      <c r="C2547" s="1" t="s">
        <v>34</v>
      </c>
      <c r="D2547" s="1" t="s">
        <v>324</v>
      </c>
      <c r="E2547" s="1" t="s">
        <v>324</v>
      </c>
      <c r="F2547" s="1" t="s">
        <v>324</v>
      </c>
      <c r="G2547" s="1" t="s">
        <v>324</v>
      </c>
    </row>
    <row r="2548" spans="1:7" x14ac:dyDescent="0.25">
      <c r="A2548" s="1" t="s">
        <v>2764</v>
      </c>
      <c r="B2548" s="2" t="str">
        <f>HYPERLINK("https://www.elsevier.com/locate/issn/0891-4222", "Research in Developmental Disabilities")</f>
        <v>Research in Developmental Disabilities</v>
      </c>
      <c r="C2548" s="1" t="s">
        <v>10</v>
      </c>
      <c r="D2548" s="1">
        <v>4040</v>
      </c>
      <c r="E2548" s="1">
        <v>3780</v>
      </c>
      <c r="F2548" s="1">
        <v>3230</v>
      </c>
      <c r="G2548" s="1">
        <v>501080</v>
      </c>
    </row>
    <row r="2549" spans="1:7" x14ac:dyDescent="0.25">
      <c r="A2549" s="1" t="s">
        <v>2765</v>
      </c>
      <c r="B2549" s="2" t="str">
        <f>HYPERLINK("https://www.elsevier.com/locate/issn/2772-6525", "Research in Diagnostic and Interventional Imaging")</f>
        <v>Research in Diagnostic and Interventional Imaging</v>
      </c>
      <c r="C2549" s="1" t="s">
        <v>23</v>
      </c>
      <c r="D2549" s="1">
        <v>1530</v>
      </c>
      <c r="E2549" s="1">
        <v>1400</v>
      </c>
      <c r="F2549" s="1">
        <v>1230</v>
      </c>
      <c r="G2549" s="1">
        <v>189770</v>
      </c>
    </row>
    <row r="2550" spans="1:7" x14ac:dyDescent="0.25">
      <c r="A2550" s="1" t="s">
        <v>2766</v>
      </c>
      <c r="B2550" s="2" t="str">
        <f>HYPERLINK("https://www.elsevier.com/locate/issn/1090-9443", "Research in Economics")</f>
        <v>Research in Economics</v>
      </c>
      <c r="C2550" s="1" t="s">
        <v>10</v>
      </c>
      <c r="D2550" s="1">
        <v>2950</v>
      </c>
      <c r="E2550" s="1">
        <v>2760</v>
      </c>
      <c r="F2550" s="1">
        <v>2360</v>
      </c>
      <c r="G2550" s="1">
        <v>365890</v>
      </c>
    </row>
    <row r="2551" spans="1:7" x14ac:dyDescent="0.25">
      <c r="A2551" s="1" t="s">
        <v>2767</v>
      </c>
      <c r="B2551" s="2" t="str">
        <f>HYPERLINK("https://www.elsevier.com/locate/issn/2590-051X", "Research in Globalization")</f>
        <v>Research in Globalization</v>
      </c>
      <c r="C2551" s="1" t="s">
        <v>23</v>
      </c>
      <c r="D2551" s="1">
        <v>1760</v>
      </c>
      <c r="E2551" s="1">
        <v>1650</v>
      </c>
      <c r="F2551" s="1">
        <v>1410</v>
      </c>
      <c r="G2551" s="1">
        <v>218290</v>
      </c>
    </row>
    <row r="2552" spans="1:7" x14ac:dyDescent="0.25">
      <c r="A2552" s="1" t="s">
        <v>2768</v>
      </c>
      <c r="B2552" s="2" t="str">
        <f>HYPERLINK("https://www.elsevier.com/locate/issn/0275-5319", "Research in International Business and Finance")</f>
        <v>Research in International Business and Finance</v>
      </c>
      <c r="C2552" s="1" t="s">
        <v>10</v>
      </c>
      <c r="D2552" s="1">
        <v>3820</v>
      </c>
      <c r="E2552" s="1">
        <v>3570</v>
      </c>
      <c r="F2552" s="1">
        <v>3060</v>
      </c>
      <c r="G2552" s="1">
        <v>473790</v>
      </c>
    </row>
    <row r="2553" spans="1:7" x14ac:dyDescent="0.25">
      <c r="A2553" s="1" t="s">
        <v>2769</v>
      </c>
      <c r="B2553" s="2" t="str">
        <f>HYPERLINK("https://www.elsevier.com/locate/issn/0923-2508", "Research in Microbiology")</f>
        <v>Research in Microbiology</v>
      </c>
      <c r="C2553" s="1" t="s">
        <v>10</v>
      </c>
      <c r="D2553" s="1">
        <v>3510</v>
      </c>
      <c r="E2553" s="1">
        <v>3280</v>
      </c>
      <c r="F2553" s="1">
        <v>2810</v>
      </c>
      <c r="G2553" s="1">
        <v>435350</v>
      </c>
    </row>
    <row r="2554" spans="1:7" x14ac:dyDescent="0.25">
      <c r="A2554" s="1" t="s">
        <v>2770</v>
      </c>
      <c r="B2554" s="2" t="str">
        <f>HYPERLINK("https://www.elsevier.com/locate/issn/3050-5798", "Research in Neurodiversity")</f>
        <v>Research in Neurodiversity</v>
      </c>
      <c r="C2554" s="1" t="s">
        <v>10</v>
      </c>
      <c r="D2554" s="1">
        <v>3200</v>
      </c>
      <c r="E2554" s="1">
        <v>2990</v>
      </c>
      <c r="F2554" s="1">
        <v>2560</v>
      </c>
      <c r="G2554" s="1">
        <v>396900</v>
      </c>
    </row>
    <row r="2555" spans="1:7" x14ac:dyDescent="0.25">
      <c r="A2555" s="1" t="s">
        <v>2771</v>
      </c>
      <c r="B2555" s="2" t="str">
        <f>HYPERLINK("https://www.elsevier.com/locate/issn/0191-3085", "Research in Organizational Behavior")</f>
        <v>Research in Organizational Behavior</v>
      </c>
      <c r="C2555" s="1" t="s">
        <v>10</v>
      </c>
      <c r="D2555" s="1">
        <v>2340</v>
      </c>
      <c r="E2555" s="1">
        <v>2190</v>
      </c>
      <c r="F2555" s="1">
        <v>1870</v>
      </c>
      <c r="G2555" s="1">
        <v>290230</v>
      </c>
    </row>
    <row r="2556" spans="1:7" x14ac:dyDescent="0.25">
      <c r="A2556" s="1" t="s">
        <v>2772</v>
      </c>
      <c r="B2556" s="2" t="str">
        <f>HYPERLINK("https://www.elsevier.com/locate/issn/1551-7411", "Research in Social and Administrative Pharmacy")</f>
        <v>Research in Social and Administrative Pharmacy</v>
      </c>
      <c r="C2556" s="1" t="s">
        <v>10</v>
      </c>
      <c r="D2556" s="1">
        <v>4880</v>
      </c>
      <c r="E2556" s="1">
        <v>4570</v>
      </c>
      <c r="F2556" s="1">
        <v>3910</v>
      </c>
      <c r="G2556" s="1">
        <v>605270</v>
      </c>
    </row>
    <row r="2557" spans="1:7" x14ac:dyDescent="0.25">
      <c r="A2557" s="1" t="s">
        <v>2773</v>
      </c>
      <c r="B2557" s="2" t="str">
        <f>HYPERLINK("https://www.elsevier.com/locate/issn/0276-5624", "Research in Social Stratification and Mobility")</f>
        <v>Research in Social Stratification and Mobility</v>
      </c>
      <c r="C2557" s="1" t="s">
        <v>10</v>
      </c>
      <c r="D2557" s="1">
        <v>4070</v>
      </c>
      <c r="E2557" s="1">
        <v>3810</v>
      </c>
      <c r="F2557" s="1">
        <v>3260</v>
      </c>
      <c r="G2557" s="1">
        <v>504800</v>
      </c>
    </row>
    <row r="2558" spans="1:7" x14ac:dyDescent="0.25">
      <c r="A2558" s="1" t="s">
        <v>2774</v>
      </c>
      <c r="B2558" s="2" t="str">
        <f>HYPERLINK("https://www.elsevier.com/locate/issn/2210-5395", "Research in Transportation Business &amp; Management")</f>
        <v>Research in Transportation Business &amp; Management</v>
      </c>
      <c r="C2558" s="1" t="s">
        <v>10</v>
      </c>
      <c r="D2558" s="1">
        <v>2620</v>
      </c>
      <c r="E2558" s="1">
        <v>2450</v>
      </c>
      <c r="F2558" s="1">
        <v>2100</v>
      </c>
      <c r="G2558" s="1">
        <v>324960</v>
      </c>
    </row>
    <row r="2559" spans="1:7" x14ac:dyDescent="0.25">
      <c r="A2559" s="1" t="s">
        <v>2775</v>
      </c>
      <c r="B2559" s="2" t="str">
        <f>HYPERLINK("https://www.elsevier.com/locate/issn/0739-8859", "Research in Transportation Economics")</f>
        <v>Research in Transportation Economics</v>
      </c>
      <c r="C2559" s="1" t="s">
        <v>10</v>
      </c>
      <c r="D2559" s="1">
        <v>2430</v>
      </c>
      <c r="E2559" s="1">
        <v>2270</v>
      </c>
      <c r="F2559" s="1">
        <v>1950</v>
      </c>
      <c r="G2559" s="1">
        <v>301390</v>
      </c>
    </row>
    <row r="2560" spans="1:7" x14ac:dyDescent="0.25">
      <c r="A2560" s="1" t="s">
        <v>2776</v>
      </c>
      <c r="B2560" s="2" t="str">
        <f>HYPERLINK("https://www.elsevier.com/locate/issn/0034-5288", "Research in Veterinary Science")</f>
        <v>Research in Veterinary Science</v>
      </c>
      <c r="C2560" s="1" t="s">
        <v>10</v>
      </c>
      <c r="D2560" s="1">
        <v>3290</v>
      </c>
      <c r="E2560" s="1">
        <v>3080</v>
      </c>
      <c r="F2560" s="1">
        <v>2630</v>
      </c>
      <c r="G2560" s="1">
        <v>408060</v>
      </c>
    </row>
    <row r="2561" spans="1:7" x14ac:dyDescent="0.25">
      <c r="A2561" s="1" t="s">
        <v>2777</v>
      </c>
      <c r="B2561" s="2" t="str">
        <f>HYPERLINK("https://www.elsevier.com/locate/issn/2772-7661", "Research Methods in Applied Linguistics")</f>
        <v>Research Methods in Applied Linguistics</v>
      </c>
      <c r="C2561" s="1" t="s">
        <v>10</v>
      </c>
      <c r="D2561" s="1">
        <v>2000</v>
      </c>
      <c r="E2561" s="1">
        <v>1870</v>
      </c>
      <c r="F2561" s="1">
        <v>1600</v>
      </c>
      <c r="G2561" s="1">
        <v>248060</v>
      </c>
    </row>
    <row r="2562" spans="1:7" x14ac:dyDescent="0.25">
      <c r="A2562" s="1" t="s">
        <v>2778</v>
      </c>
      <c r="B2562" s="2" t="str">
        <f>HYPERLINK("https://www.elsevier.com/locate/issn/0048-7333", "Research Policy")</f>
        <v>Research Policy</v>
      </c>
      <c r="C2562" s="1" t="s">
        <v>10</v>
      </c>
      <c r="D2562" s="1">
        <v>4280</v>
      </c>
      <c r="E2562" s="1">
        <v>4000</v>
      </c>
      <c r="F2562" s="1">
        <v>3430</v>
      </c>
      <c r="G2562" s="1">
        <v>530850</v>
      </c>
    </row>
    <row r="2563" spans="1:7" x14ac:dyDescent="0.25">
      <c r="A2563" s="1" t="s">
        <v>2779</v>
      </c>
      <c r="B2563" s="2" t="str">
        <f>HYPERLINK("https://www.elsevier.com/locate/issn/2772-7416", "Resilient Cities and Structures")</f>
        <v>Resilient Cities and Structures</v>
      </c>
      <c r="C2563" s="1" t="s">
        <v>23</v>
      </c>
      <c r="D2563" s="1">
        <v>1200</v>
      </c>
      <c r="E2563" s="1">
        <v>1120</v>
      </c>
      <c r="F2563" s="1">
        <v>960</v>
      </c>
      <c r="G2563" s="1">
        <v>148840</v>
      </c>
    </row>
    <row r="2564" spans="1:7" x14ac:dyDescent="0.25">
      <c r="A2564" s="1" t="s">
        <v>2780</v>
      </c>
      <c r="B2564" s="2" t="str">
        <f>HYPERLINK("https://www.elsevier.com/locate/issn/0928-7655", "Resource and Energy Economics")</f>
        <v>Resource and Energy Economics</v>
      </c>
      <c r="C2564" s="1" t="s">
        <v>10</v>
      </c>
      <c r="D2564" s="1">
        <v>3200</v>
      </c>
      <c r="E2564" s="1">
        <v>2990</v>
      </c>
      <c r="F2564" s="1">
        <v>2560</v>
      </c>
      <c r="G2564" s="1">
        <v>396900</v>
      </c>
    </row>
    <row r="2565" spans="1:7" x14ac:dyDescent="0.25">
      <c r="A2565" s="1" t="s">
        <v>2781</v>
      </c>
      <c r="B2565" s="2" t="str">
        <f>HYPERLINK("https://www.elsevier.com/locate/issn/2772-4433", "Resources Chemicals and Materials")</f>
        <v>Resources Chemicals and Materials</v>
      </c>
      <c r="C2565" s="1" t="s">
        <v>34</v>
      </c>
      <c r="D2565" s="1" t="s">
        <v>324</v>
      </c>
      <c r="E2565" s="1" t="s">
        <v>324</v>
      </c>
      <c r="F2565" s="1" t="s">
        <v>324</v>
      </c>
      <c r="G2565" s="1" t="s">
        <v>324</v>
      </c>
    </row>
    <row r="2566" spans="1:7" x14ac:dyDescent="0.25">
      <c r="A2566" s="1" t="s">
        <v>2782</v>
      </c>
      <c r="B2566" s="2" t="str">
        <f>HYPERLINK("https://www.elsevier.com/locate/issn/0301-4207", "Resources Policy")</f>
        <v>Resources Policy</v>
      </c>
      <c r="C2566" s="1" t="s">
        <v>10</v>
      </c>
      <c r="D2566" s="1">
        <v>3810</v>
      </c>
      <c r="E2566" s="1">
        <v>3560</v>
      </c>
      <c r="F2566" s="1">
        <v>3050</v>
      </c>
      <c r="G2566" s="1">
        <v>472550</v>
      </c>
    </row>
    <row r="2567" spans="1:7" x14ac:dyDescent="0.25">
      <c r="A2567" s="1" t="s">
        <v>2783</v>
      </c>
      <c r="B2567" s="2" t="str">
        <f>HYPERLINK("https://www.elsevier.com/locate/issn/2212-5345", "Respiratory Investigation")</f>
        <v>Respiratory Investigation</v>
      </c>
      <c r="C2567" s="1" t="s">
        <v>10</v>
      </c>
      <c r="D2567" s="1">
        <v>3000</v>
      </c>
      <c r="E2567" s="1">
        <v>2810</v>
      </c>
      <c r="F2567" s="1">
        <v>2400</v>
      </c>
      <c r="G2567" s="1">
        <v>372090</v>
      </c>
    </row>
    <row r="2568" spans="1:7" x14ac:dyDescent="0.25">
      <c r="A2568" s="1" t="s">
        <v>2784</v>
      </c>
      <c r="B2568" s="2" t="str">
        <f>HYPERLINK("https://www.elsevier.com/locate/issn/0954-6111", "Respiratory Medicine")</f>
        <v>Respiratory Medicine</v>
      </c>
      <c r="C2568" s="1" t="s">
        <v>10</v>
      </c>
      <c r="D2568" s="1">
        <v>3630</v>
      </c>
      <c r="E2568" s="1">
        <v>3400</v>
      </c>
      <c r="F2568" s="1">
        <v>2910</v>
      </c>
      <c r="G2568" s="1">
        <v>450230</v>
      </c>
    </row>
    <row r="2569" spans="1:7" x14ac:dyDescent="0.25">
      <c r="A2569" s="1" t="s">
        <v>2785</v>
      </c>
      <c r="B2569" s="2" t="str">
        <f>HYPERLINK("https://www.elsevier.com/locate/issn/2590-0412", "Respiratory Medicine and Research")</f>
        <v>Respiratory Medicine and Research</v>
      </c>
      <c r="C2569" s="1" t="s">
        <v>10</v>
      </c>
      <c r="D2569" s="1">
        <v>1670</v>
      </c>
      <c r="E2569" s="1">
        <v>1520</v>
      </c>
      <c r="F2569" s="1">
        <v>1330</v>
      </c>
      <c r="G2569" s="1">
        <v>207130</v>
      </c>
    </row>
    <row r="2570" spans="1:7" x14ac:dyDescent="0.25">
      <c r="A2570" s="1" t="s">
        <v>2786</v>
      </c>
      <c r="B2570" s="2" t="str">
        <f>HYPERLINK("https://www.elsevier.com/locate/issn/2213-0071", "Respiratory Medicine Case Reports")</f>
        <v>Respiratory Medicine Case Reports</v>
      </c>
      <c r="C2570" s="1" t="s">
        <v>23</v>
      </c>
      <c r="D2570" s="1">
        <v>1200</v>
      </c>
      <c r="E2570" s="1">
        <v>1120</v>
      </c>
      <c r="F2570" s="1">
        <v>960</v>
      </c>
      <c r="G2570" s="1">
        <v>148840</v>
      </c>
    </row>
    <row r="2571" spans="1:7" x14ac:dyDescent="0.25">
      <c r="A2571" s="1" t="s">
        <v>2787</v>
      </c>
      <c r="B2571" s="2" t="str">
        <f>HYPERLINK("https://www.elsevier.com/locate/issn/1569-9048", "Respiratory Physiology &amp; Neurobiology")</f>
        <v>Respiratory Physiology &amp; Neurobiology</v>
      </c>
      <c r="C2571" s="1" t="s">
        <v>10</v>
      </c>
      <c r="D2571" s="1">
        <v>3450</v>
      </c>
      <c r="E2571" s="1">
        <v>3230</v>
      </c>
      <c r="F2571" s="1">
        <v>2760</v>
      </c>
      <c r="G2571" s="1">
        <v>427900</v>
      </c>
    </row>
    <row r="2572" spans="1:7" x14ac:dyDescent="0.25">
      <c r="A2572" s="1" t="s">
        <v>2788</v>
      </c>
      <c r="B2572" s="2" t="str">
        <f>HYPERLINK("https://www.elsevier.com/locate/issn/2590-0374", "Results in Applied Mathematics")</f>
        <v>Results in Applied Mathematics</v>
      </c>
      <c r="C2572" s="1" t="s">
        <v>23</v>
      </c>
      <c r="D2572" s="1">
        <v>1770</v>
      </c>
      <c r="E2572" s="1">
        <v>1660</v>
      </c>
      <c r="F2572" s="1">
        <v>1420</v>
      </c>
      <c r="G2572" s="1">
        <v>219530</v>
      </c>
    </row>
    <row r="2573" spans="1:7" x14ac:dyDescent="0.25">
      <c r="A2573" s="1" t="s">
        <v>2789</v>
      </c>
      <c r="B2573" s="2" t="str">
        <f>HYPERLINK("https://www.elsevier.com/locate/issn/2211-7156", "Results in Chemistry")</f>
        <v>Results in Chemistry</v>
      </c>
      <c r="C2573" s="1" t="s">
        <v>23</v>
      </c>
      <c r="D2573" s="1">
        <v>1740</v>
      </c>
      <c r="E2573" s="1">
        <v>1630</v>
      </c>
      <c r="F2573" s="1">
        <v>1390</v>
      </c>
      <c r="G2573" s="1">
        <v>215810</v>
      </c>
    </row>
    <row r="2574" spans="1:7" x14ac:dyDescent="0.25">
      <c r="A2574" s="1" t="s">
        <v>2790</v>
      </c>
      <c r="B2574" s="2" t="str">
        <f>HYPERLINK("https://www.elsevier.com/locate/issn/2666-7207", "Results in Control and Optimization")</f>
        <v>Results in Control and Optimization</v>
      </c>
      <c r="C2574" s="1" t="s">
        <v>23</v>
      </c>
      <c r="D2574" s="1">
        <v>1470</v>
      </c>
      <c r="E2574" s="1">
        <v>1380</v>
      </c>
      <c r="F2574" s="1">
        <v>1180</v>
      </c>
      <c r="G2574" s="1">
        <v>182320</v>
      </c>
    </row>
    <row r="2575" spans="1:7" x14ac:dyDescent="0.25">
      <c r="A2575" s="1" t="s">
        <v>2791</v>
      </c>
      <c r="B2575" s="2" t="str">
        <f>HYPERLINK("https://www.elsevier.com/locate/issn/2211-7148", "Results in Earth Sciences")</f>
        <v>Results in Earth Sciences</v>
      </c>
      <c r="C2575" s="1" t="s">
        <v>23</v>
      </c>
      <c r="D2575" s="1">
        <v>1030</v>
      </c>
      <c r="E2575" s="1">
        <v>960</v>
      </c>
      <c r="F2575" s="1">
        <v>820</v>
      </c>
      <c r="G2575" s="1">
        <v>127750</v>
      </c>
    </row>
    <row r="2576" spans="1:7" x14ac:dyDescent="0.25">
      <c r="A2576" s="1" t="s">
        <v>2792</v>
      </c>
      <c r="B2576" s="2" t="str">
        <f>HYPERLINK("https://www.elsevier.com/locate/issn/2590-1230", "Results in Engineering")</f>
        <v>Results in Engineering</v>
      </c>
      <c r="C2576" s="1" t="s">
        <v>23</v>
      </c>
      <c r="D2576" s="1">
        <v>1810</v>
      </c>
      <c r="E2576" s="1">
        <v>1690</v>
      </c>
      <c r="F2576" s="1">
        <v>1450</v>
      </c>
      <c r="G2576" s="1">
        <v>224490</v>
      </c>
    </row>
    <row r="2577" spans="1:7" x14ac:dyDescent="0.25">
      <c r="A2577" s="1" t="s">
        <v>2793</v>
      </c>
      <c r="B2577" s="2" t="str">
        <f>HYPERLINK("https://www.elsevier.com/locate/issn/2666-2779", "Results in Geochemistry")</f>
        <v>Results in Geochemistry</v>
      </c>
      <c r="C2577" s="1" t="s">
        <v>23</v>
      </c>
      <c r="D2577" s="1">
        <v>1000</v>
      </c>
      <c r="E2577" s="1">
        <v>940</v>
      </c>
      <c r="F2577" s="1">
        <v>800</v>
      </c>
      <c r="G2577" s="1">
        <v>124030</v>
      </c>
    </row>
    <row r="2578" spans="1:7" x14ac:dyDescent="0.25">
      <c r="A2578" s="1" t="s">
        <v>2794</v>
      </c>
      <c r="B2578" s="2" t="str">
        <f>HYPERLINK("https://www.elsevier.com/locate/issn/2666-8289", "Results in Geophysical Sciences")</f>
        <v>Results in Geophysical Sciences</v>
      </c>
      <c r="C2578" s="1" t="s">
        <v>23</v>
      </c>
      <c r="D2578" s="1">
        <v>1000</v>
      </c>
      <c r="E2578" s="1">
        <v>940</v>
      </c>
      <c r="F2578" s="1">
        <v>800</v>
      </c>
      <c r="G2578" s="1">
        <v>124030</v>
      </c>
    </row>
    <row r="2579" spans="1:7" x14ac:dyDescent="0.25">
      <c r="A2579" s="1" t="s">
        <v>2795</v>
      </c>
      <c r="B2579" s="2" t="str">
        <f>HYPERLINK("https://www.elsevier.com/locate/issn/2590-048X", "Results in Materials")</f>
        <v>Results in Materials</v>
      </c>
      <c r="C2579" s="1" t="s">
        <v>23</v>
      </c>
      <c r="D2579" s="1">
        <v>1530</v>
      </c>
      <c r="E2579" s="1">
        <v>1430</v>
      </c>
      <c r="F2579" s="1">
        <v>1220</v>
      </c>
      <c r="G2579" s="1">
        <v>189770</v>
      </c>
    </row>
    <row r="2580" spans="1:7" x14ac:dyDescent="0.25">
      <c r="A2580" s="1" t="s">
        <v>2796</v>
      </c>
      <c r="B2580" s="2" t="str">
        <f>HYPERLINK("https://www.elsevier.com/locate/issn/2666-9501", "Results in Optics")</f>
        <v>Results in Optics</v>
      </c>
      <c r="C2580" s="1" t="s">
        <v>23</v>
      </c>
      <c r="D2580" s="1">
        <v>1470</v>
      </c>
      <c r="E2580" s="1">
        <v>1380</v>
      </c>
      <c r="F2580" s="1">
        <v>1180</v>
      </c>
      <c r="G2580" s="1">
        <v>182320</v>
      </c>
    </row>
    <row r="2581" spans="1:7" x14ac:dyDescent="0.25">
      <c r="A2581" s="1" t="s">
        <v>2797</v>
      </c>
      <c r="B2581" s="2" t="str">
        <f>HYPERLINK("https://www.elsevier.com/locate/issn/2211-3797", "Results in Physics")</f>
        <v>Results in Physics</v>
      </c>
      <c r="C2581" s="1" t="s">
        <v>23</v>
      </c>
      <c r="D2581" s="1">
        <v>1920</v>
      </c>
      <c r="E2581" s="1">
        <v>1800</v>
      </c>
      <c r="F2581" s="1">
        <v>1540</v>
      </c>
      <c r="G2581" s="1">
        <v>238140</v>
      </c>
    </row>
    <row r="2582" spans="1:7" x14ac:dyDescent="0.25">
      <c r="A2582" s="1" t="s">
        <v>2798</v>
      </c>
      <c r="B2582" s="2" t="str">
        <f>HYPERLINK("https://www.elsevier.com/locate/issn/2666-8459", "Results in Surfaces and Interfaces")</f>
        <v>Results in Surfaces and Interfaces</v>
      </c>
      <c r="C2582" s="1" t="s">
        <v>23</v>
      </c>
      <c r="D2582" s="1">
        <v>1190</v>
      </c>
      <c r="E2582" s="1">
        <v>1110</v>
      </c>
      <c r="F2582" s="1">
        <v>950</v>
      </c>
      <c r="G2582" s="1">
        <v>147600</v>
      </c>
    </row>
    <row r="2583" spans="1:7" x14ac:dyDescent="0.25">
      <c r="A2583" s="1" t="s">
        <v>2799</v>
      </c>
      <c r="B2583" s="2" t="str">
        <f>HYPERLINK("https://www.elsevier.com/locate/issn/0300-9572", "Resuscitation")</f>
        <v>Resuscitation</v>
      </c>
      <c r="C2583" s="1" t="s">
        <v>10</v>
      </c>
      <c r="D2583" s="1">
        <v>4490</v>
      </c>
      <c r="E2583" s="1">
        <v>4200</v>
      </c>
      <c r="F2583" s="1">
        <v>3590</v>
      </c>
      <c r="G2583" s="1">
        <v>556890</v>
      </c>
    </row>
    <row r="2584" spans="1:7" x14ac:dyDescent="0.25">
      <c r="A2584" s="1" t="s">
        <v>2800</v>
      </c>
      <c r="B2584" s="2" t="str">
        <f>HYPERLINK("https://www.elsevier.com/locate/issn/2666-5204", "Resuscitation Plus")</f>
        <v>Resuscitation Plus</v>
      </c>
      <c r="C2584" s="1" t="s">
        <v>23</v>
      </c>
      <c r="D2584" s="1">
        <v>2450</v>
      </c>
      <c r="E2584" s="1">
        <v>2290</v>
      </c>
      <c r="F2584" s="1">
        <v>1960</v>
      </c>
      <c r="G2584" s="1">
        <v>303870</v>
      </c>
    </row>
    <row r="2585" spans="1:7" x14ac:dyDescent="0.25">
      <c r="A2585" s="1" t="s">
        <v>2801</v>
      </c>
      <c r="B2585" s="2" t="str">
        <f>HYPERLINK("https://www.elsevier.com/locate/issn/1699-258X", "Reumatología Clínica")</f>
        <v>Reumatología Clínica</v>
      </c>
      <c r="C2585" s="1" t="s">
        <v>10</v>
      </c>
      <c r="D2585" s="1">
        <v>3180</v>
      </c>
      <c r="E2585" s="1">
        <v>2970</v>
      </c>
      <c r="F2585" s="1">
        <v>2550</v>
      </c>
      <c r="G2585" s="1">
        <v>394420</v>
      </c>
    </row>
    <row r="2586" spans="1:7" x14ac:dyDescent="0.25">
      <c r="A2586" s="1" t="s">
        <v>2802</v>
      </c>
      <c r="B2586" s="2" t="str">
        <f>HYPERLINK("https://www.elsevier.com/locate/issn/2173-5743", "Reumatología Clínica (English Edition)")</f>
        <v>Reumatología Clínica (English Edition)</v>
      </c>
      <c r="C2586" s="1" t="s">
        <v>10</v>
      </c>
      <c r="D2586" s="1">
        <v>3170</v>
      </c>
      <c r="E2586" s="1">
        <v>2970</v>
      </c>
      <c r="F2586" s="1">
        <v>2540</v>
      </c>
      <c r="G2586" s="1">
        <v>393790</v>
      </c>
    </row>
    <row r="2587" spans="1:7" x14ac:dyDescent="0.25">
      <c r="A2587" s="1" t="s">
        <v>2803</v>
      </c>
      <c r="B2587" s="2" t="str">
        <f>HYPERLINK("https://www.elsevier.com/locate/issn/1094-2025", "Review of Economic Dynamics")</f>
        <v>Review of Economic Dynamics</v>
      </c>
      <c r="C2587" s="1" t="s">
        <v>10</v>
      </c>
      <c r="D2587" s="1">
        <v>3320</v>
      </c>
      <c r="E2587" s="1">
        <v>3110</v>
      </c>
      <c r="F2587" s="1">
        <v>2660</v>
      </c>
      <c r="G2587" s="1">
        <v>411780</v>
      </c>
    </row>
    <row r="2588" spans="1:7" x14ac:dyDescent="0.25">
      <c r="A2588" s="1" t="s">
        <v>2804</v>
      </c>
      <c r="B2588" s="2" t="str">
        <f>HYPERLINK("https://www.elsevier.com/locate/issn/3050-9130", "Review of Materials Research")</f>
        <v>Review of Materials Research</v>
      </c>
      <c r="C2588" s="1" t="s">
        <v>23</v>
      </c>
      <c r="D2588" s="1">
        <v>1600</v>
      </c>
      <c r="E2588" s="1">
        <v>1500</v>
      </c>
      <c r="F2588" s="1">
        <v>1280</v>
      </c>
      <c r="G2588" s="1">
        <v>198450</v>
      </c>
    </row>
    <row r="2589" spans="1:7" x14ac:dyDescent="0.25">
      <c r="A2589" s="1" t="s">
        <v>2805</v>
      </c>
      <c r="B2589" s="2" t="str">
        <f>HYPERLINK("https://www.elsevier.com/locate/issn/0034-6667", "Review of Palaeobotany and Palynology")</f>
        <v>Review of Palaeobotany and Palynology</v>
      </c>
      <c r="C2589" s="1" t="s">
        <v>10</v>
      </c>
      <c r="D2589" s="1">
        <v>3260</v>
      </c>
      <c r="E2589" s="1">
        <v>3050</v>
      </c>
      <c r="F2589" s="1">
        <v>2610</v>
      </c>
      <c r="G2589" s="1">
        <v>404340</v>
      </c>
    </row>
    <row r="2590" spans="1:7" x14ac:dyDescent="0.25">
      <c r="A2590" s="1" t="s">
        <v>2806</v>
      </c>
      <c r="B2590" s="2" t="str">
        <f>HYPERLINK("https://www.elsevier.com/locate/issn/2405-4283", "Reviews in Physics")</f>
        <v>Reviews in Physics</v>
      </c>
      <c r="C2590" s="1" t="s">
        <v>23</v>
      </c>
      <c r="D2590" s="1">
        <v>2050</v>
      </c>
      <c r="E2590" s="1">
        <v>1870</v>
      </c>
      <c r="F2590" s="1">
        <v>1640</v>
      </c>
      <c r="G2590" s="1">
        <v>248060</v>
      </c>
    </row>
    <row r="2591" spans="1:7" x14ac:dyDescent="0.25">
      <c r="A2591" s="1" t="s">
        <v>2807</v>
      </c>
      <c r="B2591" s="2" t="str">
        <f>HYPERLINK("https://www.elsevier.com/locate/issn/0325-7541", "Revista Argentina de Microbiología")</f>
        <v>Revista Argentina de Microbiología</v>
      </c>
      <c r="C2591" s="1" t="s">
        <v>23</v>
      </c>
      <c r="D2591" s="1">
        <v>1200</v>
      </c>
      <c r="E2591" s="1">
        <v>1120</v>
      </c>
      <c r="F2591" s="1">
        <v>960</v>
      </c>
      <c r="G2591" s="1">
        <v>148840</v>
      </c>
    </row>
    <row r="2592" spans="1:7" x14ac:dyDescent="0.25">
      <c r="A2592" s="1" t="s">
        <v>2808</v>
      </c>
      <c r="B2592" s="2" t="str">
        <f>HYPERLINK("https://www.elsevier.com/locate/issn/0014-2565", "Revista Clínica Española")</f>
        <v>Revista Clínica Española</v>
      </c>
      <c r="C2592" s="1" t="s">
        <v>10</v>
      </c>
      <c r="D2592" s="1">
        <v>3080</v>
      </c>
      <c r="E2592" s="1">
        <v>2810</v>
      </c>
      <c r="F2592" s="1">
        <v>2470</v>
      </c>
      <c r="G2592" s="1">
        <v>382120</v>
      </c>
    </row>
    <row r="2593" spans="1:7" x14ac:dyDescent="0.25">
      <c r="A2593" s="1" t="s">
        <v>2809</v>
      </c>
      <c r="B2593" s="2" t="str">
        <f>HYPERLINK("https://www.elsevier.com/locate/issn/2254-8874", "Revista Clínica Española (English Edition)")</f>
        <v>Revista Clínica Española (English Edition)</v>
      </c>
      <c r="C2593" s="1" t="s">
        <v>10</v>
      </c>
      <c r="D2593" s="1">
        <v>3080</v>
      </c>
      <c r="E2593" s="1">
        <v>2810</v>
      </c>
      <c r="F2593" s="1">
        <v>2470</v>
      </c>
      <c r="G2593" s="1">
        <v>382120</v>
      </c>
    </row>
    <row r="2594" spans="1:7" x14ac:dyDescent="0.25">
      <c r="A2594" s="1" t="s">
        <v>2810</v>
      </c>
      <c r="B2594" s="2" t="str">
        <f>HYPERLINK("https://www.elsevier.com/locate/issn/0121-8123", "Revista Colombiana de Reumatología")</f>
        <v>Revista Colombiana de Reumatología</v>
      </c>
      <c r="C2594" s="1" t="s">
        <v>10</v>
      </c>
      <c r="D2594" s="1">
        <v>2380</v>
      </c>
      <c r="E2594" s="1">
        <v>2230</v>
      </c>
      <c r="F2594" s="1">
        <v>1910</v>
      </c>
      <c r="G2594" s="1">
        <v>295190</v>
      </c>
    </row>
    <row r="2595" spans="1:7" x14ac:dyDescent="0.25">
      <c r="A2595" s="1" t="s">
        <v>2811</v>
      </c>
      <c r="B2595" s="2" t="str">
        <f>HYPERLINK("https://www.elsevier.com/locate/issn/2444-4405", "Revista Colombiana de Reumatología (English Edition)")</f>
        <v>Revista Colombiana de Reumatología (English Edition)</v>
      </c>
      <c r="C2595" s="1" t="s">
        <v>10</v>
      </c>
      <c r="D2595" s="1">
        <v>2380</v>
      </c>
      <c r="E2595" s="1">
        <v>2230</v>
      </c>
      <c r="F2595" s="1">
        <v>1910</v>
      </c>
      <c r="G2595" s="1">
        <v>295190</v>
      </c>
    </row>
    <row r="2596" spans="1:7" x14ac:dyDescent="0.25">
      <c r="A2596" s="1" t="s">
        <v>2812</v>
      </c>
      <c r="B2596" s="2" t="str">
        <f>HYPERLINK("https://www.elsevier.com/locate/issn/0375-0906", "Revista de Gastroenterología de México")</f>
        <v>Revista de Gastroenterología de México</v>
      </c>
      <c r="C2596" s="1" t="s">
        <v>23</v>
      </c>
      <c r="D2596" s="1">
        <v>1200</v>
      </c>
      <c r="E2596" s="1">
        <v>1120</v>
      </c>
      <c r="F2596" s="1">
        <v>960</v>
      </c>
      <c r="G2596" s="1">
        <v>148840</v>
      </c>
    </row>
    <row r="2597" spans="1:7" x14ac:dyDescent="0.25">
      <c r="A2597" s="1" t="s">
        <v>2813</v>
      </c>
      <c r="B2597" s="2" t="str">
        <f>HYPERLINK("https://www.elsevier.com/locate/issn/2255-534X", "Revista de Gastroenterología de México (English Edition)")</f>
        <v>Revista de Gastroenterología de México (English Edition)</v>
      </c>
      <c r="C2597" s="1" t="s">
        <v>23</v>
      </c>
      <c r="D2597" s="1" t="s">
        <v>324</v>
      </c>
      <c r="E2597" s="1" t="s">
        <v>324</v>
      </c>
      <c r="F2597" s="1" t="s">
        <v>324</v>
      </c>
      <c r="G2597" s="1" t="s">
        <v>324</v>
      </c>
    </row>
    <row r="2598" spans="1:7" x14ac:dyDescent="0.25">
      <c r="A2598" s="1" t="s">
        <v>2814</v>
      </c>
      <c r="B2598" s="2" t="str">
        <f>HYPERLINK("https://www.elsevier.com/locate/issn/0034-8376", "Revista de Investigación Clínica")</f>
        <v>Revista de Investigación Clínica</v>
      </c>
      <c r="C2598" s="1" t="s">
        <v>23</v>
      </c>
      <c r="D2598" s="1">
        <v>2000</v>
      </c>
      <c r="E2598" s="1">
        <v>1870</v>
      </c>
      <c r="F2598" s="1">
        <v>1600</v>
      </c>
      <c r="G2598" s="1">
        <v>248060</v>
      </c>
    </row>
    <row r="2599" spans="1:7" x14ac:dyDescent="0.25">
      <c r="A2599" s="1" t="s">
        <v>2815</v>
      </c>
      <c r="B2599" s="2" t="str">
        <f>HYPERLINK("https://www.elsevier.com/locate/issn/1136-1034", "Revista de Psicodidáctica")</f>
        <v>Revista de Psicodidáctica</v>
      </c>
      <c r="C2599" s="1" t="s">
        <v>10</v>
      </c>
      <c r="D2599" s="1">
        <v>4060</v>
      </c>
      <c r="E2599" s="1">
        <v>3800</v>
      </c>
      <c r="F2599" s="1">
        <v>3250</v>
      </c>
      <c r="G2599" s="1">
        <v>503560</v>
      </c>
    </row>
    <row r="2600" spans="1:7" x14ac:dyDescent="0.25">
      <c r="A2600" s="1" t="s">
        <v>2816</v>
      </c>
      <c r="B2600" s="2" t="str">
        <f>HYPERLINK("https://www.elsevier.com/locate/issn/2530-3805", "Revista de Psicodidáctica (English ed.)")</f>
        <v>Revista de Psicodidáctica (English ed.)</v>
      </c>
      <c r="C2600" s="1" t="s">
        <v>10</v>
      </c>
      <c r="D2600" s="1">
        <v>3980</v>
      </c>
      <c r="E2600" s="1">
        <v>3720</v>
      </c>
      <c r="F2600" s="1">
        <v>3190</v>
      </c>
      <c r="G2600" s="1">
        <v>493640</v>
      </c>
    </row>
    <row r="2601" spans="1:7" x14ac:dyDescent="0.25">
      <c r="A2601" s="1" t="s">
        <v>2817</v>
      </c>
      <c r="B2601" s="2" t="str">
        <f>HYPERLINK("https://www.elsevier.com/locate/issn/0214-1582", "Revista de Senología y Patología Mamaria")</f>
        <v>Revista de Senología y Patología Mamaria</v>
      </c>
      <c r="C2601" s="1" t="s">
        <v>10</v>
      </c>
      <c r="D2601" s="1">
        <v>2250</v>
      </c>
      <c r="E2601" s="1">
        <v>2100</v>
      </c>
      <c r="F2601" s="1">
        <v>1800</v>
      </c>
      <c r="G2601" s="1">
        <v>279070</v>
      </c>
    </row>
    <row r="2602" spans="1:7" x14ac:dyDescent="0.25">
      <c r="A2602" s="1" t="s">
        <v>2818</v>
      </c>
      <c r="B2602" s="2" t="str">
        <f>HYPERLINK("https://www.elsevier.com/locate/issn/0034-9356", "Revista Española de Anestesiología y Reanimación")</f>
        <v>Revista Española de Anestesiología y Reanimación</v>
      </c>
      <c r="C2602" s="1" t="s">
        <v>10</v>
      </c>
      <c r="D2602" s="1">
        <v>2700</v>
      </c>
      <c r="E2602" s="1">
        <v>2530</v>
      </c>
      <c r="F2602" s="1">
        <v>2160</v>
      </c>
      <c r="G2602" s="1">
        <v>334880</v>
      </c>
    </row>
    <row r="2603" spans="1:7" x14ac:dyDescent="0.25">
      <c r="A2603" s="1" t="s">
        <v>2819</v>
      </c>
      <c r="B2603" s="2" t="str">
        <f>HYPERLINK("https://www.elsevier.com/locate/issn/2341-1929", "Revista Española de Anestesiología y Reanimación (English Edition)")</f>
        <v>Revista Española de Anestesiología y Reanimación (English Edition)</v>
      </c>
      <c r="C2603" s="1" t="s">
        <v>10</v>
      </c>
      <c r="D2603" s="1">
        <v>2700</v>
      </c>
      <c r="E2603" s="1">
        <v>2530</v>
      </c>
      <c r="F2603" s="1">
        <v>2160</v>
      </c>
      <c r="G2603" s="1">
        <v>334880</v>
      </c>
    </row>
    <row r="2604" spans="1:7" x14ac:dyDescent="0.25">
      <c r="A2604" s="1" t="s">
        <v>2820</v>
      </c>
      <c r="B2604" s="2" t="str">
        <f>HYPERLINK("https://www.elsevier.com/locate/issn/0300-8932", "Revista Española de Cardiología")</f>
        <v>Revista Española de Cardiología</v>
      </c>
      <c r="C2604" s="1" t="s">
        <v>10</v>
      </c>
      <c r="D2604" s="1">
        <v>3160</v>
      </c>
      <c r="E2604" s="1">
        <v>2960</v>
      </c>
      <c r="F2604" s="1">
        <v>2530</v>
      </c>
      <c r="G2604" s="1">
        <v>391930</v>
      </c>
    </row>
    <row r="2605" spans="1:7" x14ac:dyDescent="0.25">
      <c r="A2605" s="1" t="s">
        <v>2821</v>
      </c>
      <c r="B2605" s="2" t="str">
        <f>HYPERLINK("https://www.elsevier.com/locate/issn/1885-5857", "Revista Española de Cardiología (English Edition)")</f>
        <v>Revista Española de Cardiología (English Edition)</v>
      </c>
      <c r="C2605" s="1" t="s">
        <v>10</v>
      </c>
      <c r="D2605" s="1">
        <v>3160</v>
      </c>
      <c r="E2605" s="1">
        <v>2960</v>
      </c>
      <c r="F2605" s="1">
        <v>2530</v>
      </c>
      <c r="G2605" s="1">
        <v>391930</v>
      </c>
    </row>
    <row r="2606" spans="1:7" x14ac:dyDescent="0.25">
      <c r="A2606" s="1" t="s">
        <v>2822</v>
      </c>
      <c r="B2606" s="2" t="str">
        <f>HYPERLINK("https://www.elsevier.com/locate/issn/1888-4415", "Revista Española de Cirugía Ortopédica y Traumatología")</f>
        <v>Revista Española de Cirugía Ortopédica y Traumatología</v>
      </c>
      <c r="C2606" s="1" t="s">
        <v>23</v>
      </c>
      <c r="D2606" s="1">
        <v>1430</v>
      </c>
      <c r="E2606" s="1">
        <v>1300</v>
      </c>
      <c r="F2606" s="1">
        <v>1140</v>
      </c>
      <c r="G2606" s="1">
        <v>176780</v>
      </c>
    </row>
    <row r="2607" spans="1:7" x14ac:dyDescent="0.25">
      <c r="A2607" s="1" t="s">
        <v>2823</v>
      </c>
      <c r="B2607" s="2" t="str">
        <f>HYPERLINK("https://www.elsevier.com/locate/issn/0211-139X", "Revista Española de Geriatría y Gerontología")</f>
        <v>Revista Española de Geriatría y Gerontología</v>
      </c>
      <c r="C2607" s="1" t="s">
        <v>10</v>
      </c>
      <c r="D2607" s="1">
        <v>2740</v>
      </c>
      <c r="E2607" s="1">
        <v>2500</v>
      </c>
      <c r="F2607" s="1">
        <v>2190</v>
      </c>
      <c r="G2607" s="1">
        <v>339840</v>
      </c>
    </row>
    <row r="2608" spans="1:7" x14ac:dyDescent="0.25">
      <c r="A2608" s="1" t="s">
        <v>2824</v>
      </c>
      <c r="B2608" s="2" t="str">
        <f>HYPERLINK("https://www.elsevier.com/locate/issn/0377-4732", "Revista Española de Medicina Legal")</f>
        <v>Revista Española de Medicina Legal</v>
      </c>
      <c r="C2608" s="1" t="s">
        <v>10</v>
      </c>
      <c r="D2608" s="1">
        <v>3160</v>
      </c>
      <c r="E2608" s="1">
        <v>2960</v>
      </c>
      <c r="F2608" s="1">
        <v>2530</v>
      </c>
      <c r="G2608" s="1">
        <v>391930</v>
      </c>
    </row>
    <row r="2609" spans="1:7" x14ac:dyDescent="0.25">
      <c r="A2609" s="1" t="s">
        <v>2825</v>
      </c>
      <c r="B2609" s="2" t="str">
        <f>HYPERLINK("https://www.elsevier.com/locate/issn/2253-654X", "Revista Española de Medicina Nuclear e Imagen Molecular")</f>
        <v>Revista Española de Medicina Nuclear e Imagen Molecular</v>
      </c>
      <c r="C2609" s="1" t="s">
        <v>10</v>
      </c>
      <c r="D2609" s="1">
        <v>3400</v>
      </c>
      <c r="E2609" s="1">
        <v>3180</v>
      </c>
      <c r="F2609" s="1">
        <v>2720</v>
      </c>
      <c r="G2609" s="1">
        <v>421700</v>
      </c>
    </row>
    <row r="2610" spans="1:7" ht="30" x14ac:dyDescent="0.25">
      <c r="A2610" s="1" t="s">
        <v>2826</v>
      </c>
      <c r="B2610" s="2" t="str">
        <f>HYPERLINK("https://www.elsevier.com/locate/issn/2253-8089", "Revista Española de Medicina Nuclear e Imagen Molecular (English Edition)")</f>
        <v>Revista Española de Medicina Nuclear e Imagen Molecular (English Edition)</v>
      </c>
      <c r="C2610" s="1" t="s">
        <v>10</v>
      </c>
      <c r="D2610" s="1">
        <v>3400</v>
      </c>
      <c r="E2610" s="1">
        <v>3180</v>
      </c>
      <c r="F2610" s="1">
        <v>2720</v>
      </c>
      <c r="G2610" s="1">
        <v>421700</v>
      </c>
    </row>
    <row r="2611" spans="1:7" x14ac:dyDescent="0.25">
      <c r="A2611" s="1" t="s">
        <v>2827</v>
      </c>
      <c r="B2611" s="2" t="str">
        <f>HYPERLINK("https://www.elsevier.com/locate/issn/1699-8855", "Revista Española de Patología")</f>
        <v>Revista Española de Patología</v>
      </c>
      <c r="C2611" s="1" t="s">
        <v>10</v>
      </c>
      <c r="D2611" s="1">
        <v>3000</v>
      </c>
      <c r="E2611" s="1">
        <v>2810</v>
      </c>
      <c r="F2611" s="1">
        <v>2400</v>
      </c>
      <c r="G2611" s="1">
        <v>372090</v>
      </c>
    </row>
    <row r="2612" spans="1:7" x14ac:dyDescent="0.25">
      <c r="A2612" s="1" t="s">
        <v>2828</v>
      </c>
      <c r="B2612" s="2" t="str">
        <f>HYPERLINK("https://www.elsevier.com/locate/issn/1130-1406", "Revista Iberoamericana de Micología")</f>
        <v>Revista Iberoamericana de Micología</v>
      </c>
      <c r="C2612" s="1" t="s">
        <v>10</v>
      </c>
      <c r="D2612" s="1">
        <v>2500</v>
      </c>
      <c r="E2612" s="1">
        <v>2340</v>
      </c>
      <c r="F2612" s="1">
        <v>2000</v>
      </c>
      <c r="G2612" s="1">
        <v>310080</v>
      </c>
    </row>
    <row r="2613" spans="1:7" x14ac:dyDescent="0.25">
      <c r="A2613" s="1" t="s">
        <v>2829</v>
      </c>
      <c r="B2613" s="2" t="str">
        <f>HYPERLINK("https://www.elsevier.com/locate/issn/1887-8369", "Revista Internacional de Acupuntura")</f>
        <v>Revista Internacional de Acupuntura</v>
      </c>
      <c r="C2613" s="1" t="s">
        <v>10</v>
      </c>
      <c r="D2613" s="1">
        <v>1870</v>
      </c>
      <c r="E2613" s="1">
        <v>1710</v>
      </c>
      <c r="F2613" s="1">
        <v>1500</v>
      </c>
      <c r="G2613" s="1">
        <v>231940</v>
      </c>
    </row>
    <row r="2614" spans="1:7" x14ac:dyDescent="0.25">
      <c r="A2614" s="1" t="s">
        <v>2830</v>
      </c>
      <c r="B2614" s="2" t="str">
        <f>HYPERLINK("https://www.elsevier.com/locate/issn/1698-031X", "Revista Internacional de Andrología")</f>
        <v>Revista Internacional de Andrología</v>
      </c>
      <c r="C2614" s="1" t="s">
        <v>10</v>
      </c>
      <c r="D2614" s="1">
        <v>2500</v>
      </c>
      <c r="E2614" s="1">
        <v>2340</v>
      </c>
      <c r="F2614" s="1">
        <v>2000</v>
      </c>
      <c r="G2614" s="1">
        <v>310080</v>
      </c>
    </row>
    <row r="2615" spans="1:7" x14ac:dyDescent="0.25">
      <c r="A2615" s="1" t="s">
        <v>2831</v>
      </c>
      <c r="B2615" s="2" t="str">
        <f>HYPERLINK("https://www.elsevier.com/locate/issn/0716-8640", "Revista Médica Clínica Las Condes")</f>
        <v>Revista Médica Clínica Las Condes</v>
      </c>
      <c r="C2615" s="1" t="s">
        <v>34</v>
      </c>
      <c r="D2615" s="1" t="s">
        <v>324</v>
      </c>
      <c r="E2615" s="1" t="s">
        <v>324</v>
      </c>
      <c r="F2615" s="1" t="s">
        <v>324</v>
      </c>
      <c r="G2615" s="1" t="s">
        <v>324</v>
      </c>
    </row>
    <row r="2616" spans="1:7" x14ac:dyDescent="0.25">
      <c r="A2616" s="1" t="s">
        <v>2832</v>
      </c>
      <c r="B2616" s="2" t="str">
        <f>HYPERLINK("https://www.elsevier.com/locate/issn/0870-2551", "Revista Portuguesa de Cardiologia")</f>
        <v>Revista Portuguesa de Cardiologia</v>
      </c>
      <c r="C2616" s="1" t="s">
        <v>34</v>
      </c>
      <c r="D2616" s="1" t="s">
        <v>324</v>
      </c>
      <c r="E2616" s="1" t="s">
        <v>324</v>
      </c>
      <c r="F2616" s="1" t="s">
        <v>324</v>
      </c>
      <c r="G2616" s="1" t="s">
        <v>324</v>
      </c>
    </row>
    <row r="2617" spans="1:7" x14ac:dyDescent="0.25">
      <c r="A2617" s="1" t="s">
        <v>2833</v>
      </c>
      <c r="B2617" s="2" t="str">
        <f>HYPERLINK("https://www.elsevier.com/locate/issn/1877-0517", "Revue de Chirurgie Orthopédique et Traumatologique")</f>
        <v>Revue de Chirurgie Orthopédique et Traumatologique</v>
      </c>
      <c r="C2617" s="1" t="s">
        <v>10</v>
      </c>
      <c r="D2617" s="1">
        <v>2760</v>
      </c>
      <c r="E2617" s="1">
        <v>2520</v>
      </c>
      <c r="F2617" s="1">
        <v>2210</v>
      </c>
      <c r="G2617" s="1">
        <v>342320</v>
      </c>
    </row>
    <row r="2618" spans="1:7" x14ac:dyDescent="0.25">
      <c r="A2618" s="1" t="s">
        <v>2834</v>
      </c>
      <c r="B2618" s="2" t="str">
        <f>HYPERLINK("https://www.elsevier.com/locate/issn/0035-1598", "Revue de Micropaléontologie")</f>
        <v>Revue de Micropaléontologie</v>
      </c>
      <c r="C2618" s="1" t="s">
        <v>10</v>
      </c>
      <c r="D2618" s="1">
        <v>2470</v>
      </c>
      <c r="E2618" s="1">
        <v>2310</v>
      </c>
      <c r="F2618" s="1">
        <v>1980</v>
      </c>
      <c r="G2618" s="1">
        <v>306350</v>
      </c>
    </row>
    <row r="2619" spans="1:7" x14ac:dyDescent="0.25">
      <c r="A2619" s="1" t="s">
        <v>2835</v>
      </c>
      <c r="B2619" s="2" t="str">
        <f>HYPERLINK("https://www.elsevier.com/locate/issn/1169-8330", "Revue du Rhumatisme")</f>
        <v>Revue du Rhumatisme</v>
      </c>
      <c r="C2619" s="1" t="s">
        <v>10</v>
      </c>
      <c r="D2619" s="1">
        <v>2720</v>
      </c>
      <c r="E2619" s="1">
        <v>2480</v>
      </c>
      <c r="F2619" s="1">
        <v>2180</v>
      </c>
      <c r="G2619" s="1">
        <v>337360</v>
      </c>
    </row>
    <row r="2620" spans="1:7" x14ac:dyDescent="0.25">
      <c r="A2620" s="1" t="s">
        <v>2836</v>
      </c>
      <c r="B2620" s="2" t="str">
        <f>HYPERLINK("https://www.elsevier.com/locate/issn/1877-0320", "Revue Française d’Allergologie")</f>
        <v>Revue Française d’Allergologie</v>
      </c>
      <c r="C2620" s="1" t="s">
        <v>10</v>
      </c>
      <c r="D2620" s="1">
        <v>1880</v>
      </c>
      <c r="E2620" s="1">
        <v>1710</v>
      </c>
      <c r="F2620" s="1">
        <v>1510</v>
      </c>
      <c r="G2620" s="1">
        <v>233180</v>
      </c>
    </row>
    <row r="2621" spans="1:7" x14ac:dyDescent="0.25">
      <c r="A2621" s="1" t="s">
        <v>2837</v>
      </c>
      <c r="B2621" s="2" t="str">
        <f>HYPERLINK("https://www.elsevier.com/locate/issn/0035-3787", "Revue Neurologique")</f>
        <v>Revue Neurologique</v>
      </c>
      <c r="C2621" s="1" t="s">
        <v>10</v>
      </c>
      <c r="D2621" s="1">
        <v>3620</v>
      </c>
      <c r="E2621" s="1">
        <v>3300</v>
      </c>
      <c r="F2621" s="1">
        <v>2900</v>
      </c>
      <c r="G2621" s="1">
        <v>448990</v>
      </c>
    </row>
    <row r="2622" spans="1:7" x14ac:dyDescent="0.25">
      <c r="A2622" s="1" t="s">
        <v>2838</v>
      </c>
      <c r="B2622" s="2" t="str">
        <f>HYPERLINK("https://www.elsevier.com/locate/issn/2452-2198", "Rhizosphere")</f>
        <v>Rhizosphere</v>
      </c>
      <c r="C2622" s="1" t="s">
        <v>10</v>
      </c>
      <c r="D2622" s="1">
        <v>2970</v>
      </c>
      <c r="E2622" s="1">
        <v>3000</v>
      </c>
      <c r="F2622" s="1">
        <v>2570</v>
      </c>
      <c r="G2622" s="1">
        <v>398140</v>
      </c>
    </row>
    <row r="2623" spans="1:7" x14ac:dyDescent="0.25">
      <c r="A2623" s="1" t="s">
        <v>2839</v>
      </c>
      <c r="B2623" s="2" t="str">
        <f>HYPERLINK("https://www.elsevier.com/locate/issn/1672-6308", "Rice Science")</f>
        <v>Rice Science</v>
      </c>
      <c r="C2623" s="1" t="s">
        <v>34</v>
      </c>
      <c r="D2623" s="1" t="s">
        <v>324</v>
      </c>
      <c r="E2623" s="1" t="s">
        <v>324</v>
      </c>
      <c r="F2623" s="1" t="s">
        <v>324</v>
      </c>
      <c r="G2623" s="1" t="s">
        <v>324</v>
      </c>
    </row>
    <row r="2624" spans="1:7" x14ac:dyDescent="0.25">
      <c r="A2624" s="1" t="s">
        <v>2840</v>
      </c>
      <c r="B2624" s="2" t="str">
        <f>HYPERLINK("https://www.elsevier.com/locate/issn/2950-6298", "Risk Sciences")</f>
        <v>Risk Sciences</v>
      </c>
      <c r="C2624" s="1" t="s">
        <v>34</v>
      </c>
      <c r="D2624" s="1" t="s">
        <v>324</v>
      </c>
      <c r="E2624" s="1" t="s">
        <v>324</v>
      </c>
      <c r="F2624" s="1" t="s">
        <v>324</v>
      </c>
      <c r="G2624" s="1" t="s">
        <v>324</v>
      </c>
    </row>
    <row r="2625" spans="1:7" x14ac:dyDescent="0.25">
      <c r="A2625" s="1" t="s">
        <v>2841</v>
      </c>
      <c r="B2625" s="2" t="str">
        <f>HYPERLINK("https://www.elsevier.com/locate/issn/0921-8890", "Robotics and Autonomous Systems")</f>
        <v>Robotics and Autonomous Systems</v>
      </c>
      <c r="C2625" s="1" t="s">
        <v>10</v>
      </c>
      <c r="D2625" s="1">
        <v>3140</v>
      </c>
      <c r="E2625" s="1">
        <v>2940</v>
      </c>
      <c r="F2625" s="1">
        <v>2510</v>
      </c>
      <c r="G2625" s="1">
        <v>389450</v>
      </c>
    </row>
    <row r="2626" spans="1:7" x14ac:dyDescent="0.25">
      <c r="A2626" s="1" t="s">
        <v>2842</v>
      </c>
      <c r="B2626" s="2" t="str">
        <f>HYPERLINK("https://www.elsevier.com/locate/issn/0736-5845", "Robotics and Computer-Integrated Manufacturing")</f>
        <v>Robotics and Computer-Integrated Manufacturing</v>
      </c>
      <c r="C2626" s="1" t="s">
        <v>10</v>
      </c>
      <c r="D2626" s="1">
        <v>4540</v>
      </c>
      <c r="E2626" s="1">
        <v>4250</v>
      </c>
      <c r="F2626" s="1">
        <v>3630</v>
      </c>
      <c r="G2626" s="1">
        <v>563100</v>
      </c>
    </row>
    <row r="2627" spans="1:7" x14ac:dyDescent="0.25">
      <c r="A2627" s="1" t="s">
        <v>2843</v>
      </c>
      <c r="B2627" s="2" t="str">
        <f>HYPERLINK("https://www.elsevier.com/locate/issn/2773-2304", "Rock Mechanics Bulletin")</f>
        <v>Rock Mechanics Bulletin</v>
      </c>
      <c r="C2627" s="1" t="s">
        <v>34</v>
      </c>
      <c r="D2627" s="1" t="s">
        <v>324</v>
      </c>
      <c r="E2627" s="1" t="s">
        <v>324</v>
      </c>
      <c r="F2627" s="1" t="s">
        <v>324</v>
      </c>
      <c r="G2627" s="1" t="s">
        <v>324</v>
      </c>
    </row>
    <row r="2628" spans="1:7" x14ac:dyDescent="0.25">
      <c r="A2628" s="1" t="s">
        <v>2844</v>
      </c>
      <c r="B2628" s="2" t="str">
        <f>HYPERLINK("https://www.elsevier.com/locate/issn/2093-7911", "Safety and Health at Work")</f>
        <v>Safety and Health at Work</v>
      </c>
      <c r="C2628" s="1" t="s">
        <v>23</v>
      </c>
      <c r="D2628" s="1">
        <v>1750</v>
      </c>
      <c r="E2628" s="1">
        <v>1640</v>
      </c>
      <c r="F2628" s="1">
        <v>1400</v>
      </c>
      <c r="G2628" s="1">
        <v>217050</v>
      </c>
    </row>
    <row r="2629" spans="1:7" x14ac:dyDescent="0.25">
      <c r="A2629" s="1" t="s">
        <v>2845</v>
      </c>
      <c r="B2629" s="2" t="str">
        <f>HYPERLINK("https://www.elsevier.com/locate/issn/0925-7535", "Safety Science")</f>
        <v>Safety Science</v>
      </c>
      <c r="C2629" s="1" t="s">
        <v>10</v>
      </c>
      <c r="D2629" s="1">
        <v>4360</v>
      </c>
      <c r="E2629" s="1">
        <v>4080</v>
      </c>
      <c r="F2629" s="1">
        <v>3490</v>
      </c>
      <c r="G2629" s="1">
        <v>540770</v>
      </c>
    </row>
    <row r="2630" spans="1:7" x14ac:dyDescent="0.25">
      <c r="A2630" s="1" t="s">
        <v>2846</v>
      </c>
      <c r="B2630" s="2" t="str">
        <f>HYPERLINK("https://www.elsevier.com/locate/issn/1637-4088", "Sages-Femmes")</f>
        <v>Sages-Femmes</v>
      </c>
      <c r="C2630" s="1" t="s">
        <v>10</v>
      </c>
      <c r="D2630" s="1">
        <v>2260</v>
      </c>
      <c r="E2630" s="1">
        <v>2060</v>
      </c>
      <c r="F2630" s="1">
        <v>1810</v>
      </c>
      <c r="G2630" s="1">
        <v>280310</v>
      </c>
    </row>
    <row r="2631" spans="1:7" x14ac:dyDescent="0.25">
      <c r="A2631" s="1" t="s">
        <v>2847</v>
      </c>
      <c r="B2631" s="2" t="str">
        <f>HYPERLINK("https://www.elsevier.com/locate/issn/2772-9710", "Santé mentale et Droit")</f>
        <v>Santé mentale et Droit</v>
      </c>
      <c r="C2631" s="1" t="s">
        <v>10</v>
      </c>
      <c r="D2631" s="1">
        <v>1840</v>
      </c>
      <c r="E2631" s="1">
        <v>1680</v>
      </c>
      <c r="F2631" s="1">
        <v>1470</v>
      </c>
      <c r="G2631" s="1">
        <v>228220</v>
      </c>
    </row>
    <row r="2632" spans="1:7" x14ac:dyDescent="0.25">
      <c r="A2632" s="1" t="s">
        <v>2848</v>
      </c>
      <c r="B2632" s="2" t="str">
        <f>HYPERLINK("https://www.elsevier.com/locate/issn/1319-562X", "Saudi Journal of Biological Sciences")</f>
        <v>Saudi Journal of Biological Sciences</v>
      </c>
      <c r="C2632" s="1" t="s">
        <v>23</v>
      </c>
      <c r="D2632" s="1">
        <v>1490</v>
      </c>
      <c r="E2632" s="1">
        <v>1390</v>
      </c>
      <c r="F2632" s="1">
        <v>1190</v>
      </c>
      <c r="G2632" s="1">
        <v>184800</v>
      </c>
    </row>
    <row r="2633" spans="1:7" x14ac:dyDescent="0.25">
      <c r="A2633" s="1" t="s">
        <v>2849</v>
      </c>
      <c r="B2633" s="2" t="str">
        <f>HYPERLINK("https://www.elsevier.com/locate/issn/1319-0164", "Saudi Pharmaceutical Journal")</f>
        <v>Saudi Pharmaceutical Journal</v>
      </c>
      <c r="C2633" s="1" t="s">
        <v>23</v>
      </c>
      <c r="D2633" s="1">
        <v>1600</v>
      </c>
      <c r="E2633" s="1">
        <v>1500</v>
      </c>
      <c r="F2633" s="1">
        <v>1280</v>
      </c>
      <c r="G2633" s="1">
        <v>198450</v>
      </c>
    </row>
    <row r="2634" spans="1:7" x14ac:dyDescent="0.25">
      <c r="A2634" s="1" t="s">
        <v>2850</v>
      </c>
      <c r="B2634" s="2" t="str">
        <f>HYPERLINK("https://www.elsevier.com/locate/issn/0956-5221", "Scandinavian Journal of Management")</f>
        <v>Scandinavian Journal of Management</v>
      </c>
      <c r="C2634" s="1" t="s">
        <v>10</v>
      </c>
      <c r="D2634" s="1">
        <v>3190</v>
      </c>
      <c r="E2634" s="1">
        <v>2980</v>
      </c>
      <c r="F2634" s="1">
        <v>2550</v>
      </c>
      <c r="G2634" s="1">
        <v>395660</v>
      </c>
    </row>
    <row r="2635" spans="1:7" x14ac:dyDescent="0.25">
      <c r="A2635" s="1" t="s">
        <v>2851</v>
      </c>
      <c r="B2635" s="2" t="str">
        <f>HYPERLINK("https://www.elsevier.com/locate/issn/0920-9964", "Schizophrenia Research")</f>
        <v>Schizophrenia Research</v>
      </c>
      <c r="C2635" s="1" t="s">
        <v>10</v>
      </c>
      <c r="D2635" s="1">
        <v>3910</v>
      </c>
      <c r="E2635" s="1">
        <v>3660</v>
      </c>
      <c r="F2635" s="1">
        <v>3130</v>
      </c>
      <c r="G2635" s="1">
        <v>484960</v>
      </c>
    </row>
    <row r="2636" spans="1:7" x14ac:dyDescent="0.25">
      <c r="A2636" s="1" t="s">
        <v>2852</v>
      </c>
      <c r="B2636" s="2" t="str">
        <f>HYPERLINK("https://www.elsevier.com/locate/issn/2215-0013", "Schizophrenia Research: Cognition")</f>
        <v>Schizophrenia Research: Cognition</v>
      </c>
      <c r="C2636" s="1" t="s">
        <v>23</v>
      </c>
      <c r="D2636" s="1">
        <v>3130</v>
      </c>
      <c r="E2636" s="1">
        <v>2930</v>
      </c>
      <c r="F2636" s="1">
        <v>2510</v>
      </c>
      <c r="G2636" s="1">
        <v>388210</v>
      </c>
    </row>
    <row r="2637" spans="1:7" x14ac:dyDescent="0.25">
      <c r="A2637" s="1" t="s">
        <v>2853</v>
      </c>
      <c r="B2637" s="2" t="str">
        <f>HYPERLINK("https://www.elsevier.com/locate/issn/1355-0306", "Science &amp; Justice")</f>
        <v>Science &amp; Justice</v>
      </c>
      <c r="C2637" s="1" t="s">
        <v>10</v>
      </c>
      <c r="D2637" s="1">
        <v>3720</v>
      </c>
      <c r="E2637" s="1">
        <v>3480</v>
      </c>
      <c r="F2637" s="1">
        <v>2980</v>
      </c>
      <c r="G2637" s="1">
        <v>461390</v>
      </c>
    </row>
    <row r="2638" spans="1:7" x14ac:dyDescent="0.25">
      <c r="A2638" s="1" t="s">
        <v>2854</v>
      </c>
      <c r="B2638" s="2" t="str">
        <f>HYPERLINK("https://www.elsevier.com/locate/issn/0765-1597", "Science &amp; Sports")</f>
        <v>Science &amp; Sports</v>
      </c>
      <c r="C2638" s="1" t="s">
        <v>10</v>
      </c>
      <c r="D2638" s="1">
        <v>2400</v>
      </c>
      <c r="E2638" s="1">
        <v>2190</v>
      </c>
      <c r="F2638" s="1">
        <v>1920</v>
      </c>
      <c r="G2638" s="1">
        <v>297670</v>
      </c>
    </row>
    <row r="2639" spans="1:7" x14ac:dyDescent="0.25">
      <c r="A2639" s="1" t="s">
        <v>2855</v>
      </c>
      <c r="B2639" s="2" t="str">
        <f>HYPERLINK("https://www.elsevier.com/locate/issn/2095-9273", "Science Bulletin")</f>
        <v>Science Bulletin</v>
      </c>
      <c r="C2639" s="1" t="s">
        <v>10</v>
      </c>
      <c r="D2639" s="1">
        <v>3880</v>
      </c>
      <c r="E2639" s="1">
        <v>3630</v>
      </c>
      <c r="F2639" s="1">
        <v>3110</v>
      </c>
      <c r="G2639" s="1">
        <v>481240</v>
      </c>
    </row>
    <row r="2640" spans="1:7" x14ac:dyDescent="0.25">
      <c r="A2640" s="1" t="s">
        <v>2856</v>
      </c>
      <c r="B2640" s="2" t="str">
        <f>HYPERLINK("https://www.elsevier.com/locate/issn/2949-7043", "Science in One Health")</f>
        <v>Science in One Health</v>
      </c>
      <c r="C2640" s="1" t="s">
        <v>23</v>
      </c>
      <c r="D2640" s="1">
        <v>1800</v>
      </c>
      <c r="E2640" s="1">
        <v>1680</v>
      </c>
      <c r="F2640" s="1">
        <v>1440</v>
      </c>
      <c r="G2640" s="1">
        <v>223250</v>
      </c>
    </row>
    <row r="2641" spans="1:7" x14ac:dyDescent="0.25">
      <c r="A2641" s="1" t="s">
        <v>2857</v>
      </c>
      <c r="B2641" s="2" t="str">
        <f>HYPERLINK("https://www.elsevier.com/locate/issn/0167-6423", "Science of Computer Programming")</f>
        <v>Science of Computer Programming</v>
      </c>
      <c r="C2641" s="1" t="s">
        <v>10</v>
      </c>
      <c r="D2641" s="1">
        <v>2600</v>
      </c>
      <c r="E2641" s="1">
        <v>2430</v>
      </c>
      <c r="F2641" s="1">
        <v>2080</v>
      </c>
      <c r="G2641" s="1">
        <v>322480</v>
      </c>
    </row>
    <row r="2642" spans="1:7" x14ac:dyDescent="0.25">
      <c r="A2642" s="1" t="s">
        <v>2858</v>
      </c>
      <c r="B2642" s="2" t="str">
        <f>HYPERLINK("https://www.elsevier.com/locate/issn/2666-0172", "Science of Remote Sensing")</f>
        <v>Science of Remote Sensing</v>
      </c>
      <c r="C2642" s="1" t="s">
        <v>23</v>
      </c>
      <c r="D2642" s="1">
        <v>2180</v>
      </c>
      <c r="E2642" s="1">
        <v>2040</v>
      </c>
      <c r="F2642" s="1">
        <v>1750</v>
      </c>
      <c r="G2642" s="1">
        <v>270390</v>
      </c>
    </row>
    <row r="2643" spans="1:7" x14ac:dyDescent="0.25">
      <c r="A2643" s="1" t="s">
        <v>2859</v>
      </c>
      <c r="B2643" s="2" t="str">
        <f>HYPERLINK("https://www.elsevier.com/locate/issn/0048-9697", "Science of The Total Environment")</f>
        <v>Science of The Total Environment</v>
      </c>
      <c r="C2643" s="1" t="s">
        <v>10</v>
      </c>
      <c r="D2643" s="1">
        <v>4150</v>
      </c>
      <c r="E2643" s="1">
        <v>3880</v>
      </c>
      <c r="F2643" s="1">
        <v>3320</v>
      </c>
      <c r="G2643" s="1">
        <v>514720</v>
      </c>
    </row>
    <row r="2644" spans="1:7" x14ac:dyDescent="0.25">
      <c r="A2644" s="1" t="s">
        <v>2860</v>
      </c>
      <c r="B2644" s="2" t="str">
        <f>HYPERLINK("https://www.elsevier.com/locate/issn/2772-5693", "Science Talks")</f>
        <v>Science Talks</v>
      </c>
      <c r="C2644" s="1" t="s">
        <v>23</v>
      </c>
      <c r="D2644" s="1">
        <v>740</v>
      </c>
      <c r="E2644" s="1">
        <v>690</v>
      </c>
      <c r="F2644" s="1">
        <v>590</v>
      </c>
      <c r="G2644" s="1">
        <v>91780</v>
      </c>
    </row>
    <row r="2645" spans="1:7" x14ac:dyDescent="0.25">
      <c r="A2645" s="1" t="s">
        <v>2861</v>
      </c>
      <c r="B2645" s="2" t="str">
        <f>HYPERLINK("https://www.elsevier.com/locate/issn/0304-4238", "Scientia Horticulturae")</f>
        <v>Scientia Horticulturae</v>
      </c>
      <c r="C2645" s="1" t="s">
        <v>23</v>
      </c>
      <c r="D2645" s="1">
        <v>3000</v>
      </c>
      <c r="E2645" s="1">
        <v>2810</v>
      </c>
      <c r="F2645" s="1">
        <v>2400</v>
      </c>
      <c r="G2645" s="1">
        <v>372090</v>
      </c>
    </row>
    <row r="2646" spans="1:7" x14ac:dyDescent="0.25">
      <c r="A2646" s="1" t="s">
        <v>2862</v>
      </c>
      <c r="B2646" s="2" t="str">
        <f>HYPERLINK("https://www.elsevier.com/locate/issn/2468-2276", "Scientific African")</f>
        <v>Scientific African</v>
      </c>
      <c r="C2646" s="1" t="s">
        <v>23</v>
      </c>
      <c r="D2646" s="1">
        <v>590</v>
      </c>
      <c r="E2646" s="1">
        <v>550</v>
      </c>
      <c r="F2646" s="1">
        <v>470</v>
      </c>
      <c r="G2646" s="1">
        <v>73180</v>
      </c>
    </row>
    <row r="2647" spans="1:7" x14ac:dyDescent="0.25">
      <c r="A2647" s="1" t="s">
        <v>2863</v>
      </c>
      <c r="B2647" s="2" t="str">
        <f>HYPERLINK("https://www.elsevier.com/locate/issn/1359-6462", "Scripta Materialia")</f>
        <v>Scripta Materialia</v>
      </c>
      <c r="C2647" s="1" t="s">
        <v>10</v>
      </c>
      <c r="D2647" s="1">
        <v>3220</v>
      </c>
      <c r="E2647" s="1">
        <v>3010</v>
      </c>
      <c r="F2647" s="1">
        <v>2580</v>
      </c>
      <c r="G2647" s="1">
        <v>399380</v>
      </c>
    </row>
    <row r="2648" spans="1:7" x14ac:dyDescent="0.25">
      <c r="A2648" s="1" t="s">
        <v>2864</v>
      </c>
      <c r="B2648" s="2" t="str">
        <f>HYPERLINK("https://www.elsevier.com/locate/issn/0037-0738", "Sedimentary Geology")</f>
        <v>Sedimentary Geology</v>
      </c>
      <c r="C2648" s="1" t="s">
        <v>10</v>
      </c>
      <c r="D2648" s="1">
        <v>3160</v>
      </c>
      <c r="E2648" s="1">
        <v>2960</v>
      </c>
      <c r="F2648" s="1">
        <v>2530</v>
      </c>
      <c r="G2648" s="1">
        <v>391930</v>
      </c>
    </row>
    <row r="2649" spans="1:7" x14ac:dyDescent="0.25">
      <c r="A2649" s="1" t="s">
        <v>2865</v>
      </c>
      <c r="B2649" s="2" t="str">
        <f>HYPERLINK("https://www.elsevier.com/locate/issn/1059-1311", "Seizure")</f>
        <v>Seizure</v>
      </c>
      <c r="C2649" s="1" t="s">
        <v>10</v>
      </c>
      <c r="D2649" s="1">
        <v>2970</v>
      </c>
      <c r="E2649" s="1">
        <v>2780</v>
      </c>
      <c r="F2649" s="1">
        <v>2380</v>
      </c>
      <c r="G2649" s="1">
        <v>368370</v>
      </c>
    </row>
    <row r="2650" spans="1:7" x14ac:dyDescent="0.25">
      <c r="A2650" s="1" t="s">
        <v>2866</v>
      </c>
      <c r="B2650" s="2" t="str">
        <f>HYPERLINK("https://www.elsevier.com/locate/issn/0049-0172", "Seminars in Arthritis and Rheumatism")</f>
        <v>Seminars in Arthritis and Rheumatism</v>
      </c>
      <c r="C2650" s="1" t="s">
        <v>10</v>
      </c>
      <c r="D2650" s="1">
        <v>4370</v>
      </c>
      <c r="E2650" s="1">
        <v>4090</v>
      </c>
      <c r="F2650" s="1">
        <v>3500</v>
      </c>
      <c r="G2650" s="1">
        <v>542010</v>
      </c>
    </row>
    <row r="2651" spans="1:7" x14ac:dyDescent="0.25">
      <c r="A2651" s="1" t="s">
        <v>2867</v>
      </c>
      <c r="B2651" s="2" t="str">
        <f>HYPERLINK("https://www.elsevier.com/locate/issn/1045-4527", "Seminars in Arthroplasty: JSES")</f>
        <v>Seminars in Arthroplasty: JSES</v>
      </c>
      <c r="C2651" s="1" t="s">
        <v>10</v>
      </c>
      <c r="D2651" s="1">
        <v>2500</v>
      </c>
      <c r="E2651" s="1">
        <v>2340</v>
      </c>
      <c r="F2651" s="1">
        <v>2000</v>
      </c>
      <c r="G2651" s="1">
        <v>310080</v>
      </c>
    </row>
    <row r="2652" spans="1:7" x14ac:dyDescent="0.25">
      <c r="A2652" s="1" t="s">
        <v>2868</v>
      </c>
      <c r="B2652" s="2" t="str">
        <f>HYPERLINK("https://www.elsevier.com/locate/issn/1044-579X", "Seminars in Cancer Biology")</f>
        <v>Seminars in Cancer Biology</v>
      </c>
      <c r="C2652" s="1" t="s">
        <v>10</v>
      </c>
      <c r="D2652" s="1">
        <v>6060</v>
      </c>
      <c r="E2652" s="1">
        <v>5670</v>
      </c>
      <c r="F2652" s="1">
        <v>4850</v>
      </c>
      <c r="G2652" s="1">
        <v>751620</v>
      </c>
    </row>
    <row r="2653" spans="1:7" x14ac:dyDescent="0.25">
      <c r="A2653" s="1" t="s">
        <v>2869</v>
      </c>
      <c r="B2653" s="2" t="str">
        <f>HYPERLINK("https://www.elsevier.com/locate/issn/1084-9521", "Seminars in Cell &amp; Developmental Biology")</f>
        <v>Seminars in Cell &amp; Developmental Biology</v>
      </c>
      <c r="C2653" s="1" t="s">
        <v>10</v>
      </c>
      <c r="D2653" s="1">
        <v>4670</v>
      </c>
      <c r="E2653" s="1">
        <v>4370</v>
      </c>
      <c r="F2653" s="1">
        <v>3740</v>
      </c>
      <c r="G2653" s="1">
        <v>579220</v>
      </c>
    </row>
    <row r="2654" spans="1:7" x14ac:dyDescent="0.25">
      <c r="A2654" s="1" t="s">
        <v>2870</v>
      </c>
      <c r="B2654" s="2" t="str">
        <f>HYPERLINK("https://www.elsevier.com/locate/issn/1043-1489", "Seminars in Colon and Rectal Surgery")</f>
        <v>Seminars in Colon and Rectal Surgery</v>
      </c>
      <c r="C2654" s="1" t="s">
        <v>10</v>
      </c>
      <c r="D2654" s="1">
        <v>3240</v>
      </c>
      <c r="E2654" s="1">
        <v>3030</v>
      </c>
      <c r="F2654" s="1">
        <v>2590</v>
      </c>
      <c r="G2654" s="1">
        <v>401860</v>
      </c>
    </row>
    <row r="2655" spans="1:7" x14ac:dyDescent="0.25">
      <c r="A2655" s="1" t="s">
        <v>2871</v>
      </c>
      <c r="B2655" s="2" t="str">
        <f>HYPERLINK("https://www.elsevier.com/locate/issn/0740-2570", "Seminars in Diagnostic Pathology")</f>
        <v>Seminars in Diagnostic Pathology</v>
      </c>
      <c r="C2655" s="1" t="s">
        <v>10</v>
      </c>
      <c r="D2655" s="1">
        <v>3870</v>
      </c>
      <c r="E2655" s="1">
        <v>3620</v>
      </c>
      <c r="F2655" s="1">
        <v>3100</v>
      </c>
      <c r="G2655" s="1">
        <v>480000</v>
      </c>
    </row>
    <row r="2656" spans="1:7" x14ac:dyDescent="0.25">
      <c r="A2656" s="1" t="s">
        <v>2872</v>
      </c>
      <c r="B2656" s="2" t="str">
        <f>HYPERLINK("https://www.elsevier.com/locate/issn/1744-165X", "Seminars in Fetal and Neonatal Medicine")</f>
        <v>Seminars in Fetal and Neonatal Medicine</v>
      </c>
      <c r="C2656" s="1" t="s">
        <v>10</v>
      </c>
      <c r="D2656" s="1">
        <v>4590</v>
      </c>
      <c r="E2656" s="1">
        <v>4290</v>
      </c>
      <c r="F2656" s="1">
        <v>3670</v>
      </c>
      <c r="G2656" s="1">
        <v>569300</v>
      </c>
    </row>
    <row r="2657" spans="1:7" x14ac:dyDescent="0.25">
      <c r="A2657" s="1" t="s">
        <v>2873</v>
      </c>
      <c r="B2657" s="2" t="str">
        <f>HYPERLINK("https://www.elsevier.com/locate/issn/0037-1963", "Seminars in Hematology")</f>
        <v>Seminars in Hematology</v>
      </c>
      <c r="C2657" s="1" t="s">
        <v>10</v>
      </c>
      <c r="D2657" s="1">
        <v>4070</v>
      </c>
      <c r="E2657" s="1">
        <v>3810</v>
      </c>
      <c r="F2657" s="1">
        <v>3260</v>
      </c>
      <c r="G2657" s="1">
        <v>504800</v>
      </c>
    </row>
    <row r="2658" spans="1:7" x14ac:dyDescent="0.25">
      <c r="A2658" s="1" t="s">
        <v>2874</v>
      </c>
      <c r="B2658" s="2" t="str">
        <f>HYPERLINK("https://www.elsevier.com/locate/issn/1044-5323", "Seminars in Immunology")</f>
        <v>Seminars in Immunology</v>
      </c>
      <c r="C2658" s="1" t="s">
        <v>10</v>
      </c>
      <c r="D2658" s="1">
        <v>4370</v>
      </c>
      <c r="E2658" s="1">
        <v>4090</v>
      </c>
      <c r="F2658" s="1">
        <v>3500</v>
      </c>
      <c r="G2658" s="1">
        <v>542010</v>
      </c>
    </row>
    <row r="2659" spans="1:7" x14ac:dyDescent="0.25">
      <c r="A2659" s="1" t="s">
        <v>2875</v>
      </c>
      <c r="B2659" s="2" t="str">
        <f>HYPERLINK("https://www.elsevier.com/locate/issn/0270-9295", "Seminars in Nephrology")</f>
        <v>Seminars in Nephrology</v>
      </c>
      <c r="C2659" s="1" t="s">
        <v>10</v>
      </c>
      <c r="D2659" s="1">
        <v>3500</v>
      </c>
      <c r="E2659" s="1">
        <v>3270</v>
      </c>
      <c r="F2659" s="1">
        <v>2800</v>
      </c>
      <c r="G2659" s="1">
        <v>434110</v>
      </c>
    </row>
    <row r="2660" spans="1:7" x14ac:dyDescent="0.25">
      <c r="A2660" s="1" t="s">
        <v>2876</v>
      </c>
      <c r="B2660" s="2" t="str">
        <f>HYPERLINK("https://www.elsevier.com/locate/issn/0001-2998", "Seminars in Nuclear Medicine")</f>
        <v>Seminars in Nuclear Medicine</v>
      </c>
      <c r="C2660" s="1" t="s">
        <v>10</v>
      </c>
      <c r="D2660" s="1">
        <v>5090</v>
      </c>
      <c r="E2660" s="1">
        <v>4760</v>
      </c>
      <c r="F2660" s="1">
        <v>4070</v>
      </c>
      <c r="G2660" s="1">
        <v>631310</v>
      </c>
    </row>
    <row r="2661" spans="1:7" x14ac:dyDescent="0.25">
      <c r="A2661" s="1" t="s">
        <v>2877</v>
      </c>
      <c r="B2661" s="2" t="str">
        <f>HYPERLINK("https://www.elsevier.com/locate/issn/0093-7754", "Seminars in Oncology")</f>
        <v>Seminars in Oncology</v>
      </c>
      <c r="C2661" s="1" t="s">
        <v>10</v>
      </c>
      <c r="D2661" s="1">
        <v>3550</v>
      </c>
      <c r="E2661" s="1">
        <v>3320</v>
      </c>
      <c r="F2661" s="1">
        <v>2840</v>
      </c>
      <c r="G2661" s="1">
        <v>440310</v>
      </c>
    </row>
    <row r="2662" spans="1:7" x14ac:dyDescent="0.25">
      <c r="A2662" s="1" t="s">
        <v>2878</v>
      </c>
      <c r="B2662" s="2" t="str">
        <f>HYPERLINK("https://www.elsevier.com/locate/issn/0749-2081", "Seminars in Oncology Nursing")</f>
        <v>Seminars in Oncology Nursing</v>
      </c>
      <c r="C2662" s="1" t="s">
        <v>10</v>
      </c>
      <c r="D2662" s="1">
        <v>3590</v>
      </c>
      <c r="E2662" s="1">
        <v>3360</v>
      </c>
      <c r="F2662" s="1">
        <v>2870</v>
      </c>
      <c r="G2662" s="1">
        <v>445270</v>
      </c>
    </row>
    <row r="2663" spans="1:7" x14ac:dyDescent="0.25">
      <c r="A2663" s="1" t="s">
        <v>2879</v>
      </c>
      <c r="B2663" s="2" t="str">
        <f>HYPERLINK("https://www.elsevier.com/locate/issn/1073-8746", "Seminars in Orthodontics")</f>
        <v>Seminars in Orthodontics</v>
      </c>
      <c r="C2663" s="1" t="s">
        <v>10</v>
      </c>
      <c r="D2663" s="1">
        <v>2810</v>
      </c>
      <c r="E2663" s="1">
        <v>2630</v>
      </c>
      <c r="F2663" s="1">
        <v>2250</v>
      </c>
      <c r="G2663" s="1">
        <v>348520</v>
      </c>
    </row>
    <row r="2664" spans="1:7" x14ac:dyDescent="0.25">
      <c r="A2664" s="1" t="s">
        <v>2880</v>
      </c>
      <c r="B2664" s="2" t="str">
        <f>HYPERLINK("https://www.elsevier.com/locate/issn/1071-9091", "Seminars in Pediatric Neurology")</f>
        <v>Seminars in Pediatric Neurology</v>
      </c>
      <c r="C2664" s="1" t="s">
        <v>10</v>
      </c>
      <c r="D2664" s="1">
        <v>3850</v>
      </c>
      <c r="E2664" s="1">
        <v>3600</v>
      </c>
      <c r="F2664" s="1">
        <v>3080</v>
      </c>
      <c r="G2664" s="1">
        <v>477520</v>
      </c>
    </row>
    <row r="2665" spans="1:7" x14ac:dyDescent="0.25">
      <c r="A2665" s="1" t="s">
        <v>2881</v>
      </c>
      <c r="B2665" s="2" t="str">
        <f>HYPERLINK("https://www.elsevier.com/locate/issn/1055-8586", "Seminars in Pediatric Surgery")</f>
        <v>Seminars in Pediatric Surgery</v>
      </c>
      <c r="C2665" s="1" t="s">
        <v>10</v>
      </c>
      <c r="D2665" s="1">
        <v>3420</v>
      </c>
      <c r="E2665" s="1">
        <v>3200</v>
      </c>
      <c r="F2665" s="1">
        <v>2740</v>
      </c>
      <c r="G2665" s="1">
        <v>424180</v>
      </c>
    </row>
    <row r="2666" spans="1:7" x14ac:dyDescent="0.25">
      <c r="A2666" s="1" t="s">
        <v>2882</v>
      </c>
      <c r="B2666" s="2" t="str">
        <f>HYPERLINK("https://www.elsevier.com/locate/issn/0146-0005", "Seminars in Perinatology")</f>
        <v>Seminars in Perinatology</v>
      </c>
      <c r="C2666" s="1" t="s">
        <v>10</v>
      </c>
      <c r="D2666" s="1">
        <v>4370</v>
      </c>
      <c r="E2666" s="1">
        <v>4090</v>
      </c>
      <c r="F2666" s="1">
        <v>3500</v>
      </c>
      <c r="G2666" s="1">
        <v>542010</v>
      </c>
    </row>
    <row r="2667" spans="1:7" x14ac:dyDescent="0.25">
      <c r="A2667" s="1" t="s">
        <v>2883</v>
      </c>
      <c r="B2667" s="2" t="str">
        <f>HYPERLINK("https://www.elsevier.com/locate/issn/1053-4296", "Seminars in Radiation Oncology")</f>
        <v>Seminars in Radiation Oncology</v>
      </c>
      <c r="C2667" s="1" t="s">
        <v>10</v>
      </c>
      <c r="D2667" s="1">
        <v>3330</v>
      </c>
      <c r="E2667" s="1">
        <v>3120</v>
      </c>
      <c r="F2667" s="1">
        <v>2670</v>
      </c>
      <c r="G2667" s="1">
        <v>413020</v>
      </c>
    </row>
    <row r="2668" spans="1:7" x14ac:dyDescent="0.25">
      <c r="A2668" s="1" t="s">
        <v>2884</v>
      </c>
      <c r="B2668" s="2" t="str">
        <f>HYPERLINK("https://www.elsevier.com/locate/issn/0037-198X", "Seminars in Roentgenology")</f>
        <v>Seminars in Roentgenology</v>
      </c>
      <c r="C2668" s="1" t="s">
        <v>10</v>
      </c>
      <c r="D2668" s="1">
        <v>2820</v>
      </c>
      <c r="E2668" s="1">
        <v>2640</v>
      </c>
      <c r="F2668" s="1">
        <v>2260</v>
      </c>
      <c r="G2668" s="1">
        <v>349760</v>
      </c>
    </row>
    <row r="2669" spans="1:7" x14ac:dyDescent="0.25">
      <c r="A2669" s="1" t="s">
        <v>2885</v>
      </c>
      <c r="B2669" s="2" t="str">
        <f>HYPERLINK("https://www.elsevier.com/locate/issn/1040-7383", "Seminars in Spine Surgery")</f>
        <v>Seminars in Spine Surgery</v>
      </c>
      <c r="C2669" s="1" t="s">
        <v>10</v>
      </c>
      <c r="D2669" s="1">
        <v>2350</v>
      </c>
      <c r="E2669" s="1">
        <v>2200</v>
      </c>
      <c r="F2669" s="1">
        <v>1880</v>
      </c>
      <c r="G2669" s="1">
        <v>291470</v>
      </c>
    </row>
    <row r="2670" spans="1:7" x14ac:dyDescent="0.25">
      <c r="A2670" s="1" t="s">
        <v>2886</v>
      </c>
      <c r="B2670" s="2" t="str">
        <f>HYPERLINK("https://www.elsevier.com/locate/issn/1043-0679", "Seminars in Thoracic and Cardiovascular Surgery")</f>
        <v>Seminars in Thoracic and Cardiovascular Surgery</v>
      </c>
      <c r="C2670" s="1" t="s">
        <v>10</v>
      </c>
      <c r="D2670" s="1">
        <v>3610</v>
      </c>
      <c r="E2670" s="1">
        <v>3380</v>
      </c>
      <c r="F2670" s="1">
        <v>2890</v>
      </c>
      <c r="G2670" s="1">
        <v>447750</v>
      </c>
    </row>
    <row r="2671" spans="1:7" ht="30" x14ac:dyDescent="0.25">
      <c r="A2671" s="1" t="s">
        <v>2887</v>
      </c>
      <c r="B2671" s="2" t="str">
        <f>HYPERLINK("https://www.elsevier.com/locate/issn/1092-9126", "Seminars in Thoracic and Cardiovascular Surgery: Pediatric Cardiac Surgery Annual")</f>
        <v>Seminars in Thoracic and Cardiovascular Surgery: Pediatric Cardiac Surgery Annual</v>
      </c>
      <c r="C2671" s="1" t="s">
        <v>10</v>
      </c>
      <c r="D2671" s="1">
        <v>3530</v>
      </c>
      <c r="E2671" s="1">
        <v>3300</v>
      </c>
      <c r="F2671" s="1">
        <v>2830</v>
      </c>
      <c r="G2671" s="1">
        <v>437830</v>
      </c>
    </row>
    <row r="2672" spans="1:7" x14ac:dyDescent="0.25">
      <c r="A2672" s="1" t="s">
        <v>2888</v>
      </c>
      <c r="B2672" s="2" t="str">
        <f>HYPERLINK("https://www.elsevier.com/locate/issn/0895-7967", "Seminars in Vascular Surgery")</f>
        <v>Seminars in Vascular Surgery</v>
      </c>
      <c r="C2672" s="1" t="s">
        <v>10</v>
      </c>
      <c r="D2672" s="1">
        <v>3760</v>
      </c>
      <c r="E2672" s="1">
        <v>3520</v>
      </c>
      <c r="F2672" s="1">
        <v>3010</v>
      </c>
      <c r="G2672" s="1">
        <v>466350</v>
      </c>
    </row>
    <row r="2673" spans="1:7" x14ac:dyDescent="0.25">
      <c r="A2673" s="1" t="s">
        <v>2889</v>
      </c>
      <c r="B2673" s="2" t="str">
        <f>HYPERLINK("https://www.elsevier.com/locate/issn/2214-1804", "Sensing and Bio-Sensing Research")</f>
        <v>Sensing and Bio-Sensing Research</v>
      </c>
      <c r="C2673" s="1" t="s">
        <v>23</v>
      </c>
      <c r="D2673" s="1">
        <v>2850</v>
      </c>
      <c r="E2673" s="1">
        <v>2670</v>
      </c>
      <c r="F2673" s="1">
        <v>2280</v>
      </c>
      <c r="G2673" s="1">
        <v>353490</v>
      </c>
    </row>
    <row r="2674" spans="1:7" x14ac:dyDescent="0.25">
      <c r="A2674" s="1" t="s">
        <v>2890</v>
      </c>
      <c r="B2674" s="2" t="str">
        <f>HYPERLINK("https://www.elsevier.com/locate/issn/0924-4247", "Sensors and Actuators A: Physical")</f>
        <v>Sensors and Actuators A: Physical</v>
      </c>
      <c r="C2674" s="1" t="s">
        <v>10</v>
      </c>
      <c r="D2674" s="1">
        <v>3750</v>
      </c>
      <c r="E2674" s="1">
        <v>3510</v>
      </c>
      <c r="F2674" s="1">
        <v>3000</v>
      </c>
      <c r="G2674" s="1">
        <v>465110</v>
      </c>
    </row>
    <row r="2675" spans="1:7" x14ac:dyDescent="0.25">
      <c r="A2675" s="1" t="s">
        <v>2891</v>
      </c>
      <c r="B2675" s="2" t="str">
        <f>HYPERLINK("https://www.elsevier.com/locate/issn/0925-4005", "Sensors and Actuators B: Chemical")</f>
        <v>Sensors and Actuators B: Chemical</v>
      </c>
      <c r="C2675" s="1" t="s">
        <v>10</v>
      </c>
      <c r="D2675" s="1">
        <v>5010</v>
      </c>
      <c r="E2675" s="1">
        <v>4690</v>
      </c>
      <c r="F2675" s="1">
        <v>4010</v>
      </c>
      <c r="G2675" s="1">
        <v>621390</v>
      </c>
    </row>
    <row r="2676" spans="1:7" x14ac:dyDescent="0.25">
      <c r="A2676" s="1" t="s">
        <v>2892</v>
      </c>
      <c r="B2676" s="2" t="str">
        <f>HYPERLINK("https://www.elsevier.com/locate/issn/2666-0539", "Sensors and Actuators Reports")</f>
        <v>Sensors and Actuators Reports</v>
      </c>
      <c r="C2676" s="1" t="s">
        <v>23</v>
      </c>
      <c r="D2676" s="1">
        <v>2430</v>
      </c>
      <c r="E2676" s="1">
        <v>2270</v>
      </c>
      <c r="F2676" s="1">
        <v>1950</v>
      </c>
      <c r="G2676" s="1">
        <v>301390</v>
      </c>
    </row>
    <row r="2677" spans="1:7" x14ac:dyDescent="0.25">
      <c r="A2677" s="1" t="s">
        <v>2893</v>
      </c>
      <c r="B2677" s="2" t="str">
        <f>HYPERLINK("https://www.elsevier.com/locate/issn/2666-3511", "Sensors International")</f>
        <v>Sensors International</v>
      </c>
      <c r="C2677" s="1" t="s">
        <v>34</v>
      </c>
      <c r="D2677" s="1">
        <v>840</v>
      </c>
      <c r="E2677" s="1">
        <v>790</v>
      </c>
      <c r="F2677" s="1">
        <v>670</v>
      </c>
      <c r="G2677" s="1">
        <v>104190</v>
      </c>
    </row>
    <row r="2678" spans="1:7" x14ac:dyDescent="0.25">
      <c r="A2678" s="1" t="s">
        <v>2894</v>
      </c>
      <c r="B2678" s="2" t="str">
        <f>HYPERLINK("https://www.elsevier.com/locate/issn/1383-5866", "Separation and Purification Technology")</f>
        <v>Separation and Purification Technology</v>
      </c>
      <c r="C2678" s="1" t="s">
        <v>10</v>
      </c>
      <c r="D2678" s="1">
        <v>4060</v>
      </c>
      <c r="E2678" s="1">
        <v>3800</v>
      </c>
      <c r="F2678" s="1">
        <v>3250</v>
      </c>
      <c r="G2678" s="1">
        <v>503560</v>
      </c>
    </row>
    <row r="2679" spans="1:7" x14ac:dyDescent="0.25">
      <c r="A2679" s="1" t="s">
        <v>2895</v>
      </c>
      <c r="B2679" s="2" t="str">
        <f>HYPERLINK("https://www.elsevier.com/locate/issn/1877-5756", "Sexual &amp; Reproductive Healthcare")</f>
        <v>Sexual &amp; Reproductive Healthcare</v>
      </c>
      <c r="C2679" s="1" t="s">
        <v>23</v>
      </c>
      <c r="D2679" s="1">
        <v>1850</v>
      </c>
      <c r="E2679" s="1">
        <v>1730</v>
      </c>
      <c r="F2679" s="1">
        <v>1480</v>
      </c>
      <c r="G2679" s="1">
        <v>229460</v>
      </c>
    </row>
    <row r="2680" spans="1:7" x14ac:dyDescent="0.25">
      <c r="A2680" s="1" t="s">
        <v>2896</v>
      </c>
      <c r="B2680" s="2" t="str">
        <f>HYPERLINK("https://www.elsevier.com/locate/issn/2050-1161", "Sexual Medicine")</f>
        <v>Sexual Medicine</v>
      </c>
      <c r="C2680" s="1" t="s">
        <v>23</v>
      </c>
      <c r="D2680" s="1">
        <v>2500</v>
      </c>
      <c r="E2680" s="1">
        <v>2340</v>
      </c>
      <c r="F2680" s="1">
        <v>2000</v>
      </c>
      <c r="G2680" s="1">
        <v>310080</v>
      </c>
    </row>
    <row r="2681" spans="1:7" x14ac:dyDescent="0.25">
      <c r="A2681" s="1" t="s">
        <v>2897</v>
      </c>
      <c r="B2681" s="2" t="str">
        <f>HYPERLINK("https://www.elsevier.com/locate/issn/2050-0521", "Sexual Medicine Reviews")</f>
        <v>Sexual Medicine Reviews</v>
      </c>
      <c r="C2681" s="1" t="s">
        <v>10</v>
      </c>
      <c r="D2681" s="1">
        <v>3220</v>
      </c>
      <c r="E2681" s="1">
        <v>3010</v>
      </c>
      <c r="F2681" s="1">
        <v>2580</v>
      </c>
      <c r="G2681" s="1">
        <v>399380</v>
      </c>
    </row>
    <row r="2682" spans="1:7" x14ac:dyDescent="0.25">
      <c r="A2682" s="1" t="s">
        <v>2898</v>
      </c>
      <c r="B2682" s="2" t="str">
        <f>HYPERLINK("https://www.elsevier.com/locate/issn/0165-1684", "Signal Processing")</f>
        <v>Signal Processing</v>
      </c>
      <c r="C2682" s="1" t="s">
        <v>10</v>
      </c>
      <c r="D2682" s="1">
        <v>3190</v>
      </c>
      <c r="E2682" s="1">
        <v>2980</v>
      </c>
      <c r="F2682" s="1">
        <v>2550</v>
      </c>
      <c r="G2682" s="1">
        <v>395660</v>
      </c>
    </row>
    <row r="2683" spans="1:7" x14ac:dyDescent="0.25">
      <c r="A2683" s="1" t="s">
        <v>2899</v>
      </c>
      <c r="B2683" s="2" t="str">
        <f>HYPERLINK("https://www.elsevier.com/locate/issn/0923-5965", "Signal Processing: Image Communication")</f>
        <v>Signal Processing: Image Communication</v>
      </c>
      <c r="C2683" s="1" t="s">
        <v>10</v>
      </c>
      <c r="D2683" s="1">
        <v>2470</v>
      </c>
      <c r="E2683" s="1">
        <v>2310</v>
      </c>
      <c r="F2683" s="1">
        <v>1980</v>
      </c>
      <c r="G2683" s="1">
        <v>306350</v>
      </c>
    </row>
    <row r="2684" spans="1:7" x14ac:dyDescent="0.25">
      <c r="A2684" s="1" t="s">
        <v>2900</v>
      </c>
      <c r="B2684" s="2" t="str">
        <f>HYPERLINK("https://www.elsevier.com/locate/issn/1569-190X", "Simulation Modelling Practice and Theory")</f>
        <v>Simulation Modelling Practice and Theory</v>
      </c>
      <c r="C2684" s="1" t="s">
        <v>10</v>
      </c>
      <c r="D2684" s="1">
        <v>2890</v>
      </c>
      <c r="E2684" s="1">
        <v>2700</v>
      </c>
      <c r="F2684" s="1">
        <v>2310</v>
      </c>
      <c r="G2684" s="1">
        <v>358450</v>
      </c>
    </row>
    <row r="2685" spans="1:7" x14ac:dyDescent="0.25">
      <c r="A2685" s="1" t="s">
        <v>2901</v>
      </c>
      <c r="B2685" s="2" t="str">
        <f>HYPERLINK("https://www.elsevier.com/locate/issn/2472-5552", "SLAS Discovery")</f>
        <v>SLAS Discovery</v>
      </c>
      <c r="C2685" s="1" t="s">
        <v>23</v>
      </c>
      <c r="D2685" s="1">
        <v>2070</v>
      </c>
      <c r="E2685" s="1">
        <v>1940</v>
      </c>
      <c r="F2685" s="1">
        <v>1660</v>
      </c>
      <c r="G2685" s="1">
        <v>256740</v>
      </c>
    </row>
    <row r="2686" spans="1:7" x14ac:dyDescent="0.25">
      <c r="A2686" s="1" t="s">
        <v>2902</v>
      </c>
      <c r="B2686" s="2" t="str">
        <f>HYPERLINK("https://www.elsevier.com/locate/issn/2472-6303", "SLAS Technology")</f>
        <v>SLAS Technology</v>
      </c>
      <c r="C2686" s="1" t="s">
        <v>23</v>
      </c>
      <c r="D2686" s="1">
        <v>2070</v>
      </c>
      <c r="E2686" s="1">
        <v>1940</v>
      </c>
      <c r="F2686" s="1">
        <v>1660</v>
      </c>
      <c r="G2686" s="1">
        <v>256740</v>
      </c>
    </row>
    <row r="2687" spans="1:7" x14ac:dyDescent="0.25">
      <c r="A2687" s="1" t="s">
        <v>2903</v>
      </c>
      <c r="B2687" s="2" t="str">
        <f>HYPERLINK("https://www.elsevier.com/locate/issn/2950-3965", "Slavic Literatures")</f>
        <v>Slavic Literatures</v>
      </c>
      <c r="C2687" s="1" t="s">
        <v>10</v>
      </c>
      <c r="D2687" s="1">
        <v>2560</v>
      </c>
      <c r="E2687" s="1">
        <v>2390</v>
      </c>
      <c r="F2687" s="1">
        <v>2050</v>
      </c>
      <c r="G2687" s="1">
        <v>317520</v>
      </c>
    </row>
    <row r="2688" spans="1:7" x14ac:dyDescent="0.25">
      <c r="A2688" s="1" t="s">
        <v>2904</v>
      </c>
      <c r="B2688" s="2" t="str">
        <f>HYPERLINK("https://www.elsevier.com/locate/issn/2667-3436", "Sleep Epidemiology")</f>
        <v>Sleep Epidemiology</v>
      </c>
      <c r="C2688" s="1" t="s">
        <v>23</v>
      </c>
      <c r="D2688" s="1">
        <v>2660</v>
      </c>
      <c r="E2688" s="1">
        <v>2490</v>
      </c>
      <c r="F2688" s="1">
        <v>2130</v>
      </c>
      <c r="G2688" s="1">
        <v>329920</v>
      </c>
    </row>
    <row r="2689" spans="1:7" x14ac:dyDescent="0.25">
      <c r="A2689" s="1" t="s">
        <v>2905</v>
      </c>
      <c r="B2689" s="2" t="str">
        <f>HYPERLINK("https://www.elsevier.com/locate/issn/2352-7218", "Sleep Health")</f>
        <v>Sleep Health</v>
      </c>
      <c r="C2689" s="1" t="s">
        <v>10</v>
      </c>
      <c r="D2689" s="1">
        <v>3600</v>
      </c>
      <c r="E2689" s="1">
        <v>3370</v>
      </c>
      <c r="F2689" s="1">
        <v>2880</v>
      </c>
      <c r="G2689" s="1">
        <v>446510</v>
      </c>
    </row>
    <row r="2690" spans="1:7" x14ac:dyDescent="0.25">
      <c r="A2690" s="1" t="s">
        <v>2906</v>
      </c>
      <c r="B2690" s="2" t="str">
        <f>HYPERLINK("https://www.elsevier.com/locate/issn/1389-9457", "Sleep Medicine")</f>
        <v>Sleep Medicine</v>
      </c>
      <c r="C2690" s="1" t="s">
        <v>10</v>
      </c>
      <c r="D2690" s="1">
        <v>4350</v>
      </c>
      <c r="E2690" s="1">
        <v>4070</v>
      </c>
      <c r="F2690" s="1">
        <v>3480</v>
      </c>
      <c r="G2690" s="1">
        <v>539530</v>
      </c>
    </row>
    <row r="2691" spans="1:7" x14ac:dyDescent="0.25">
      <c r="A2691" s="1" t="s">
        <v>2907</v>
      </c>
      <c r="B2691" s="2" t="str">
        <f>HYPERLINK("https://www.elsevier.com/locate/issn/1087-0792", "Sleep Medicine Reviews")</f>
        <v>Sleep Medicine Reviews</v>
      </c>
      <c r="C2691" s="1" t="s">
        <v>10</v>
      </c>
      <c r="D2691" s="1">
        <v>5950</v>
      </c>
      <c r="E2691" s="1">
        <v>5570</v>
      </c>
      <c r="F2691" s="1">
        <v>4760</v>
      </c>
      <c r="G2691" s="1">
        <v>737980</v>
      </c>
    </row>
    <row r="2692" spans="1:7" x14ac:dyDescent="0.25">
      <c r="A2692" s="1" t="s">
        <v>2908</v>
      </c>
      <c r="B2692" s="2" t="str">
        <f>HYPERLINK("https://www.elsevier.com/locate/issn/2590-1427", "Sleep Medicine: X")</f>
        <v>Sleep Medicine: X</v>
      </c>
      <c r="C2692" s="1" t="s">
        <v>23</v>
      </c>
      <c r="D2692" s="1">
        <v>2890</v>
      </c>
      <c r="E2692" s="1">
        <v>2700</v>
      </c>
      <c r="F2692" s="1">
        <v>2310</v>
      </c>
      <c r="G2692" s="1">
        <v>358450</v>
      </c>
    </row>
    <row r="2693" spans="1:7" x14ac:dyDescent="0.25">
      <c r="A2693" s="1" t="s">
        <v>2909</v>
      </c>
      <c r="B2693" s="2" t="str">
        <f>HYPERLINK("https://www.elsevier.com/locate/issn/0921-4488", "Small Ruminant Research")</f>
        <v>Small Ruminant Research</v>
      </c>
      <c r="C2693" s="1" t="s">
        <v>10</v>
      </c>
      <c r="D2693" s="1">
        <v>2300</v>
      </c>
      <c r="E2693" s="1">
        <v>2150</v>
      </c>
      <c r="F2693" s="1">
        <v>1840</v>
      </c>
      <c r="G2693" s="1">
        <v>285270</v>
      </c>
    </row>
    <row r="2694" spans="1:7" x14ac:dyDescent="0.25">
      <c r="A2694" s="1" t="s">
        <v>2910</v>
      </c>
      <c r="B2694" s="2" t="str">
        <f>HYPERLINK("https://www.elsevier.com/locate/issn/2772-3755", "Smart Agricultural Technology")</f>
        <v>Smart Agricultural Technology</v>
      </c>
      <c r="C2694" s="1" t="s">
        <v>23</v>
      </c>
      <c r="D2694" s="1">
        <v>1650</v>
      </c>
      <c r="E2694" s="1">
        <v>1540</v>
      </c>
      <c r="F2694" s="1">
        <v>1320</v>
      </c>
      <c r="G2694" s="1">
        <v>204650</v>
      </c>
    </row>
    <row r="2695" spans="1:7" x14ac:dyDescent="0.25">
      <c r="A2695" s="1" t="s">
        <v>2911</v>
      </c>
      <c r="B2695" s="2" t="str">
        <f>HYPERLINK("https://www.elsevier.com/locate/issn/2666-9552", "Smart Energy")</f>
        <v>Smart Energy</v>
      </c>
      <c r="C2695" s="1" t="s">
        <v>23</v>
      </c>
      <c r="D2695" s="1">
        <v>2750</v>
      </c>
      <c r="E2695" s="1">
        <v>2570</v>
      </c>
      <c r="F2695" s="1">
        <v>2200</v>
      </c>
      <c r="G2695" s="1">
        <v>341080</v>
      </c>
    </row>
    <row r="2696" spans="1:7" x14ac:dyDescent="0.25">
      <c r="A2696" s="1" t="s">
        <v>2912</v>
      </c>
      <c r="B2696" s="2" t="str">
        <f>HYPERLINK("https://www.elsevier.com/locate/issn/2352-6483", "Smart Health")</f>
        <v>Smart Health</v>
      </c>
      <c r="C2696" s="1" t="s">
        <v>10</v>
      </c>
      <c r="D2696" s="1">
        <v>2250</v>
      </c>
      <c r="E2696" s="1">
        <v>2100</v>
      </c>
      <c r="F2696" s="1">
        <v>1800</v>
      </c>
      <c r="G2696" s="1">
        <v>279070</v>
      </c>
    </row>
    <row r="2697" spans="1:7" x14ac:dyDescent="0.25">
      <c r="A2697" s="1" t="s">
        <v>2913</v>
      </c>
      <c r="B2697" s="2" t="str">
        <f>HYPERLINK("https://www.elsevier.com/locate/issn/2772-8102", "Smart Materials in Manufacturing")</f>
        <v>Smart Materials in Manufacturing</v>
      </c>
      <c r="C2697" s="1" t="s">
        <v>34</v>
      </c>
      <c r="D2697" s="1" t="s">
        <v>324</v>
      </c>
      <c r="E2697" s="1" t="s">
        <v>324</v>
      </c>
      <c r="F2697" s="1" t="s">
        <v>324</v>
      </c>
      <c r="G2697" s="1" t="s">
        <v>324</v>
      </c>
    </row>
    <row r="2698" spans="1:7" x14ac:dyDescent="0.25">
      <c r="A2698" s="1" t="s">
        <v>2914</v>
      </c>
      <c r="B2698" s="2" t="str">
        <f>HYPERLINK("https://www.elsevier.com/locate/issn/2590-1834", "Smart Materials in Medicine")</f>
        <v>Smart Materials in Medicine</v>
      </c>
      <c r="C2698" s="1" t="s">
        <v>34</v>
      </c>
      <c r="D2698" s="1">
        <v>700</v>
      </c>
      <c r="E2698" s="1">
        <v>650</v>
      </c>
      <c r="F2698" s="1">
        <v>560</v>
      </c>
      <c r="G2698" s="1">
        <v>86820</v>
      </c>
    </row>
    <row r="2699" spans="1:7" x14ac:dyDescent="0.25">
      <c r="A2699" s="1" t="s">
        <v>2915</v>
      </c>
      <c r="B2699" s="2" t="str">
        <f>HYPERLINK("https://www.elsevier.com/locate/issn/2949-8414", "Smart Power &amp; Energy Security")</f>
        <v>Smart Power &amp; Energy Security</v>
      </c>
      <c r="C2699" s="1" t="s">
        <v>34</v>
      </c>
      <c r="D2699" s="1" t="s">
        <v>324</v>
      </c>
      <c r="E2699" s="1" t="s">
        <v>324</v>
      </c>
      <c r="F2699" s="1" t="s">
        <v>324</v>
      </c>
      <c r="G2699" s="1" t="s">
        <v>324</v>
      </c>
    </row>
    <row r="2700" spans="1:7" x14ac:dyDescent="0.25">
      <c r="A2700" s="1" t="s">
        <v>2916</v>
      </c>
      <c r="B2700" s="2" t="str">
        <f>HYPERLINK("https://www.elsevier.com/locate/issn/3050-614X", "Smart Underground Engineering")</f>
        <v>Smart Underground Engineering</v>
      </c>
      <c r="C2700" s="1" t="s">
        <v>34</v>
      </c>
      <c r="D2700" s="1" t="s">
        <v>324</v>
      </c>
      <c r="E2700" s="1" t="s">
        <v>324</v>
      </c>
      <c r="F2700" s="1" t="s">
        <v>324</v>
      </c>
      <c r="G2700" s="1" t="s">
        <v>324</v>
      </c>
    </row>
    <row r="2701" spans="1:7" x14ac:dyDescent="0.25">
      <c r="A2701" s="1" t="s">
        <v>2917</v>
      </c>
      <c r="B2701" s="2" t="str">
        <f>HYPERLINK("https://www.elsevier.com/locate/issn/0378-8733", "Social Networks")</f>
        <v>Social Networks</v>
      </c>
      <c r="C2701" s="1" t="s">
        <v>10</v>
      </c>
      <c r="D2701" s="1">
        <v>3520</v>
      </c>
      <c r="E2701" s="1">
        <v>3290</v>
      </c>
      <c r="F2701" s="1">
        <v>2820</v>
      </c>
      <c r="G2701" s="1">
        <v>436590</v>
      </c>
    </row>
    <row r="2702" spans="1:7" x14ac:dyDescent="0.25">
      <c r="A2702" s="1" t="s">
        <v>2918</v>
      </c>
      <c r="B2702" s="2" t="str">
        <f>HYPERLINK("https://www.elsevier.com/locate/issn/0277-9536", "Social Science &amp; Medicine")</f>
        <v>Social Science &amp; Medicine</v>
      </c>
      <c r="C2702" s="1" t="s">
        <v>10</v>
      </c>
      <c r="D2702" s="1">
        <v>3800</v>
      </c>
      <c r="E2702" s="1">
        <v>3550</v>
      </c>
      <c r="F2702" s="1">
        <v>3040</v>
      </c>
      <c r="G2702" s="1">
        <v>471310</v>
      </c>
    </row>
    <row r="2703" spans="1:7" x14ac:dyDescent="0.25">
      <c r="A2703" s="1" t="s">
        <v>2919</v>
      </c>
      <c r="B2703" s="2" t="str">
        <f>HYPERLINK("https://www.elsevier.com/locate/issn/0049-089X", "Social Science Research")</f>
        <v>Social Science Research</v>
      </c>
      <c r="C2703" s="1" t="s">
        <v>10</v>
      </c>
      <c r="D2703" s="1">
        <v>3020</v>
      </c>
      <c r="E2703" s="1">
        <v>2830</v>
      </c>
      <c r="F2703" s="1">
        <v>2420</v>
      </c>
      <c r="G2703" s="1">
        <v>374570</v>
      </c>
    </row>
    <row r="2704" spans="1:7" x14ac:dyDescent="0.25">
      <c r="A2704" s="1" t="s">
        <v>2920</v>
      </c>
      <c r="B2704" s="2" t="str">
        <f>HYPERLINK("https://www.elsevier.com/locate/issn/2590-2911", "Social Sciences &amp; Humanities Open")</f>
        <v>Social Sciences &amp; Humanities Open</v>
      </c>
      <c r="C2704" s="1" t="s">
        <v>23</v>
      </c>
      <c r="D2704" s="1">
        <v>1100</v>
      </c>
      <c r="E2704" s="1">
        <v>1030</v>
      </c>
      <c r="F2704" s="1">
        <v>880</v>
      </c>
      <c r="G2704" s="1">
        <v>136430</v>
      </c>
    </row>
    <row r="2705" spans="1:7" x14ac:dyDescent="0.25">
      <c r="A2705" s="1" t="s">
        <v>2921</v>
      </c>
      <c r="B2705" s="2" t="str">
        <f>HYPERLINK("https://www.elsevier.com/locate/issn/2949-6977", "Societal Impacts")</f>
        <v>Societal Impacts</v>
      </c>
      <c r="C2705" s="1" t="s">
        <v>23</v>
      </c>
      <c r="D2705" s="1">
        <v>310</v>
      </c>
      <c r="E2705" s="1">
        <v>290</v>
      </c>
      <c r="F2705" s="1">
        <v>250</v>
      </c>
      <c r="G2705" s="1">
        <v>38450</v>
      </c>
    </row>
    <row r="2706" spans="1:7" x14ac:dyDescent="0.25">
      <c r="A2706" s="1" t="s">
        <v>2922</v>
      </c>
      <c r="B2706" s="2" t="str">
        <f>HYPERLINK("https://www.elsevier.com/locate/issn/0038-0121", "Socio-Economic Planning Sciences")</f>
        <v>Socio-Economic Planning Sciences</v>
      </c>
      <c r="C2706" s="1" t="s">
        <v>10</v>
      </c>
      <c r="D2706" s="1">
        <v>3550</v>
      </c>
      <c r="E2706" s="1">
        <v>3320</v>
      </c>
      <c r="F2706" s="1">
        <v>2840</v>
      </c>
      <c r="G2706" s="1">
        <v>440310</v>
      </c>
    </row>
    <row r="2707" spans="1:7" x14ac:dyDescent="0.25">
      <c r="A2707" s="1" t="s">
        <v>2923</v>
      </c>
      <c r="B2707" s="2" t="str">
        <f>HYPERLINK("https://www.elsevier.com/locate/issn/2665-9638", "Software Impacts")</f>
        <v>Software Impacts</v>
      </c>
      <c r="C2707" s="1" t="s">
        <v>23</v>
      </c>
      <c r="D2707" s="1">
        <v>600</v>
      </c>
      <c r="E2707" s="1">
        <v>560</v>
      </c>
      <c r="F2707" s="1">
        <v>480</v>
      </c>
      <c r="G2707" s="1">
        <v>74420</v>
      </c>
    </row>
    <row r="2708" spans="1:7" x14ac:dyDescent="0.25">
      <c r="A2708" s="1" t="s">
        <v>2924</v>
      </c>
      <c r="B2708" s="2" t="str">
        <f>HYPERLINK("https://www.elsevier.com/locate/issn/2352-7110", "SoftwareX")</f>
        <v>SoftwareX</v>
      </c>
      <c r="C2708" s="1" t="s">
        <v>23</v>
      </c>
      <c r="D2708" s="1">
        <v>1200</v>
      </c>
      <c r="E2708" s="1">
        <v>1120</v>
      </c>
      <c r="F2708" s="1">
        <v>960</v>
      </c>
      <c r="G2708" s="1">
        <v>148840</v>
      </c>
    </row>
    <row r="2709" spans="1:7" x14ac:dyDescent="0.25">
      <c r="A2709" s="1" t="s">
        <v>2925</v>
      </c>
      <c r="B2709" s="2" t="str">
        <f>HYPERLINK("https://www.elsevier.com/locate/issn/2949-9194", "Soil &amp; Environmental Health")</f>
        <v>Soil &amp; Environmental Health</v>
      </c>
      <c r="C2709" s="1" t="s">
        <v>23</v>
      </c>
      <c r="D2709" s="1">
        <v>1800</v>
      </c>
      <c r="E2709" s="1">
        <v>1680</v>
      </c>
      <c r="F2709" s="1">
        <v>1440</v>
      </c>
      <c r="G2709" s="1">
        <v>223250</v>
      </c>
    </row>
    <row r="2710" spans="1:7" x14ac:dyDescent="0.25">
      <c r="A2710" s="1" t="s">
        <v>2926</v>
      </c>
      <c r="B2710" s="2" t="str">
        <f>HYPERLINK("https://www.elsevier.com/locate/issn/0167-1987", "Soil and Tillage Research")</f>
        <v>Soil and Tillage Research</v>
      </c>
      <c r="C2710" s="1" t="s">
        <v>10</v>
      </c>
      <c r="D2710" s="1">
        <v>4570</v>
      </c>
      <c r="E2710" s="1">
        <v>4280</v>
      </c>
      <c r="F2710" s="1">
        <v>3660</v>
      </c>
      <c r="G2710" s="1">
        <v>566820</v>
      </c>
    </row>
    <row r="2711" spans="1:7" x14ac:dyDescent="0.25">
      <c r="A2711" s="1" t="s">
        <v>2927</v>
      </c>
      <c r="B2711" s="2" t="str">
        <f>HYPERLINK("https://www.elsevier.com/locate/issn/2950-2896", "Soil Advances")</f>
        <v>Soil Advances</v>
      </c>
      <c r="C2711" s="1" t="s">
        <v>23</v>
      </c>
      <c r="D2711" s="1">
        <v>1850</v>
      </c>
      <c r="E2711" s="1">
        <v>1730</v>
      </c>
      <c r="F2711" s="1">
        <v>1480</v>
      </c>
      <c r="G2711" s="1">
        <v>229460</v>
      </c>
    </row>
    <row r="2712" spans="1:7" x14ac:dyDescent="0.25">
      <c r="A2712" s="1" t="s">
        <v>2928</v>
      </c>
      <c r="B2712" s="2" t="str">
        <f>HYPERLINK("https://www.elsevier.com/locate/issn/0038-0717", "Soil Biology and Biochemistry")</f>
        <v>Soil Biology and Biochemistry</v>
      </c>
      <c r="C2712" s="1" t="s">
        <v>10</v>
      </c>
      <c r="D2712" s="1">
        <v>4950</v>
      </c>
      <c r="E2712" s="1">
        <v>4630</v>
      </c>
      <c r="F2712" s="1">
        <v>3960</v>
      </c>
      <c r="G2712" s="1">
        <v>613950</v>
      </c>
    </row>
    <row r="2713" spans="1:7" x14ac:dyDescent="0.25">
      <c r="A2713" s="1" t="s">
        <v>2929</v>
      </c>
      <c r="B2713" s="2" t="str">
        <f>HYPERLINK("https://www.elsevier.com/locate/issn/0267-7261", "Soil Dynamics and Earthquake Engineering")</f>
        <v>Soil Dynamics and Earthquake Engineering</v>
      </c>
      <c r="C2713" s="1" t="s">
        <v>10</v>
      </c>
      <c r="D2713" s="1">
        <v>3900</v>
      </c>
      <c r="E2713" s="1">
        <v>3650</v>
      </c>
      <c r="F2713" s="1">
        <v>3120</v>
      </c>
      <c r="G2713" s="1">
        <v>483720</v>
      </c>
    </row>
    <row r="2714" spans="1:7" x14ac:dyDescent="0.25">
      <c r="A2714" s="1" t="s">
        <v>2930</v>
      </c>
      <c r="B2714" s="2" t="str">
        <f>HYPERLINK("https://www.elsevier.com/locate/issn/2667-0062", "Soil Security")</f>
        <v>Soil Security</v>
      </c>
      <c r="C2714" s="1" t="s">
        <v>23</v>
      </c>
      <c r="D2714" s="1">
        <v>1390</v>
      </c>
      <c r="E2714" s="1">
        <v>1300</v>
      </c>
      <c r="F2714" s="1">
        <v>1110</v>
      </c>
      <c r="G2714" s="1">
        <v>172400</v>
      </c>
    </row>
    <row r="2715" spans="1:7" x14ac:dyDescent="0.25">
      <c r="A2715" s="1" t="s">
        <v>2931</v>
      </c>
      <c r="B2715" s="2" t="str">
        <f>HYPERLINK("https://www.elsevier.com/locate/issn/0038-0806", "Soils and Foundations")</f>
        <v>Soils and Foundations</v>
      </c>
      <c r="C2715" s="1" t="s">
        <v>23</v>
      </c>
      <c r="D2715" s="1">
        <v>1500</v>
      </c>
      <c r="E2715" s="1">
        <v>1400</v>
      </c>
      <c r="F2715" s="1">
        <v>1200</v>
      </c>
      <c r="G2715" s="1">
        <v>186050</v>
      </c>
    </row>
    <row r="2716" spans="1:7" x14ac:dyDescent="0.25">
      <c r="A2716" s="1" t="s">
        <v>2932</v>
      </c>
      <c r="B2716" s="2" t="str">
        <f>HYPERLINK("https://www.elsevier.com/locate/issn/2772-9400", "Solar Compass")</f>
        <v>Solar Compass</v>
      </c>
      <c r="C2716" s="1" t="s">
        <v>23</v>
      </c>
      <c r="D2716" s="1">
        <v>500</v>
      </c>
      <c r="E2716" s="1">
        <v>470</v>
      </c>
      <c r="F2716" s="1">
        <v>400</v>
      </c>
      <c r="G2716" s="1">
        <v>62020</v>
      </c>
    </row>
    <row r="2717" spans="1:7" x14ac:dyDescent="0.25">
      <c r="A2717" s="1" t="s">
        <v>2933</v>
      </c>
      <c r="B2717" s="2" t="str">
        <f>HYPERLINK("https://www.elsevier.com/locate/issn/0038-092X", "Solar Energy")</f>
        <v>Solar Energy</v>
      </c>
      <c r="C2717" s="1" t="s">
        <v>10</v>
      </c>
      <c r="D2717" s="1">
        <v>4100</v>
      </c>
      <c r="E2717" s="1">
        <v>3840</v>
      </c>
      <c r="F2717" s="1">
        <v>3280</v>
      </c>
      <c r="G2717" s="1">
        <v>508520</v>
      </c>
    </row>
    <row r="2718" spans="1:7" x14ac:dyDescent="0.25">
      <c r="A2718" s="1" t="s">
        <v>2934</v>
      </c>
      <c r="B2718" s="2" t="str">
        <f>HYPERLINK("https://www.elsevier.com/locate/issn/2667-1131", "Solar Energy Advances")</f>
        <v>Solar Energy Advances</v>
      </c>
      <c r="C2718" s="1" t="s">
        <v>23</v>
      </c>
      <c r="D2718" s="1">
        <v>2750</v>
      </c>
      <c r="E2718" s="1">
        <v>2570</v>
      </c>
      <c r="F2718" s="1">
        <v>2200</v>
      </c>
      <c r="G2718" s="1">
        <v>341080</v>
      </c>
    </row>
    <row r="2719" spans="1:7" x14ac:dyDescent="0.25">
      <c r="A2719" s="1" t="s">
        <v>2935</v>
      </c>
      <c r="B2719" s="2" t="str">
        <f>HYPERLINK("https://www.elsevier.com/locate/issn/0927-0248", "Solar Energy Materials and Solar Cells")</f>
        <v>Solar Energy Materials and Solar Cells</v>
      </c>
      <c r="C2719" s="1" t="s">
        <v>10</v>
      </c>
      <c r="D2719" s="1">
        <v>4340</v>
      </c>
      <c r="E2719" s="1">
        <v>4060</v>
      </c>
      <c r="F2719" s="1">
        <v>3470</v>
      </c>
      <c r="G2719" s="1">
        <v>538290</v>
      </c>
    </row>
    <row r="2720" spans="1:7" x14ac:dyDescent="0.25">
      <c r="A2720" s="1" t="s">
        <v>2936</v>
      </c>
      <c r="B2720" s="2" t="str">
        <f>HYPERLINK("https://www.elsevier.com/locate/issn/2451-912X", "Solid Earth Sciences")</f>
        <v>Solid Earth Sciences</v>
      </c>
      <c r="C2720" s="1" t="s">
        <v>23</v>
      </c>
      <c r="D2720" s="1">
        <v>2410</v>
      </c>
      <c r="E2720" s="1">
        <v>2250</v>
      </c>
      <c r="F2720" s="1">
        <v>1930</v>
      </c>
      <c r="G2720" s="1">
        <v>298910</v>
      </c>
    </row>
    <row r="2721" spans="1:7" x14ac:dyDescent="0.25">
      <c r="A2721" s="1" t="s">
        <v>2937</v>
      </c>
      <c r="B2721" s="2" t="str">
        <f>HYPERLINK("https://www.elsevier.com/locate/issn/0038-1098", "Solid State Communications")</f>
        <v>Solid State Communications</v>
      </c>
      <c r="C2721" s="1" t="s">
        <v>10</v>
      </c>
      <c r="D2721" s="1">
        <v>2960</v>
      </c>
      <c r="E2721" s="1">
        <v>2770</v>
      </c>
      <c r="F2721" s="1">
        <v>2370</v>
      </c>
      <c r="G2721" s="1">
        <v>367130</v>
      </c>
    </row>
    <row r="2722" spans="1:7" x14ac:dyDescent="0.25">
      <c r="A2722" s="1" t="s">
        <v>2938</v>
      </c>
      <c r="B2722" s="2" t="str">
        <f>HYPERLINK("https://www.elsevier.com/locate/issn/2589-2088", "Solid State Electronics Letters")</f>
        <v>Solid State Electronics Letters</v>
      </c>
      <c r="C2722" s="1" t="s">
        <v>34</v>
      </c>
      <c r="D2722" s="1">
        <v>740</v>
      </c>
      <c r="E2722" s="1">
        <v>690</v>
      </c>
      <c r="F2722" s="1">
        <v>590</v>
      </c>
      <c r="G2722" s="1">
        <v>91780</v>
      </c>
    </row>
    <row r="2723" spans="1:7" x14ac:dyDescent="0.25">
      <c r="A2723" s="1" t="s">
        <v>2939</v>
      </c>
      <c r="B2723" s="2" t="str">
        <f>HYPERLINK("https://www.elsevier.com/locate/issn/0167-2738", "Solid State Ionics")</f>
        <v>Solid State Ionics</v>
      </c>
      <c r="C2723" s="1" t="s">
        <v>10</v>
      </c>
      <c r="D2723" s="1">
        <v>3560</v>
      </c>
      <c r="E2723" s="1">
        <v>3330</v>
      </c>
      <c r="F2723" s="1">
        <v>2850</v>
      </c>
      <c r="G2723" s="1">
        <v>441550</v>
      </c>
    </row>
    <row r="2724" spans="1:7" x14ac:dyDescent="0.25">
      <c r="A2724" s="1" t="s">
        <v>2940</v>
      </c>
      <c r="B2724" s="2" t="str">
        <f>HYPERLINK("https://www.elsevier.com/locate/issn/0926-2040", "Solid State Nuclear Magnetic Resonance")</f>
        <v>Solid State Nuclear Magnetic Resonance</v>
      </c>
      <c r="C2724" s="1" t="s">
        <v>10</v>
      </c>
      <c r="D2724" s="1">
        <v>3750</v>
      </c>
      <c r="E2724" s="1">
        <v>3510</v>
      </c>
      <c r="F2724" s="1">
        <v>3000</v>
      </c>
      <c r="G2724" s="1">
        <v>465110</v>
      </c>
    </row>
    <row r="2725" spans="1:7" x14ac:dyDescent="0.25">
      <c r="A2725" s="1" t="s">
        <v>2941</v>
      </c>
      <c r="B2725" s="2" t="str">
        <f>HYPERLINK("https://www.elsevier.com/locate/issn/1293-2558", "Solid State Sciences")</f>
        <v>Solid State Sciences</v>
      </c>
      <c r="C2725" s="1" t="s">
        <v>10</v>
      </c>
      <c r="D2725" s="1">
        <v>3070</v>
      </c>
      <c r="E2725" s="1">
        <v>2870</v>
      </c>
      <c r="F2725" s="1">
        <v>2460</v>
      </c>
      <c r="G2725" s="1">
        <v>380770</v>
      </c>
    </row>
    <row r="2726" spans="1:7" x14ac:dyDescent="0.25">
      <c r="A2726" s="1" t="s">
        <v>2942</v>
      </c>
      <c r="B2726" s="2" t="str">
        <f>HYPERLINK("https://www.elsevier.com/locate/issn/0038-1101", "Solid-State Electronics")</f>
        <v>Solid-State Electronics</v>
      </c>
      <c r="C2726" s="1" t="s">
        <v>10</v>
      </c>
      <c r="D2726" s="1">
        <v>2410</v>
      </c>
      <c r="E2726" s="1">
        <v>2250</v>
      </c>
      <c r="F2726" s="1">
        <v>1930</v>
      </c>
      <c r="G2726" s="1">
        <v>298910</v>
      </c>
    </row>
    <row r="2727" spans="1:7" x14ac:dyDescent="0.25">
      <c r="A2727" s="1" t="s">
        <v>2943</v>
      </c>
      <c r="B2727" s="2" t="str">
        <f>HYPERLINK("https://www.elsevier.com/locate/issn/0254-6299", "South African Journal of Botany")</f>
        <v>South African Journal of Botany</v>
      </c>
      <c r="C2727" s="1" t="s">
        <v>10</v>
      </c>
      <c r="D2727" s="1">
        <v>2750</v>
      </c>
      <c r="E2727" s="1">
        <v>2570</v>
      </c>
      <c r="F2727" s="1">
        <v>2200</v>
      </c>
      <c r="G2727" s="1">
        <v>341080</v>
      </c>
    </row>
    <row r="2728" spans="1:7" x14ac:dyDescent="0.25">
      <c r="A2728" s="1" t="s">
        <v>2944</v>
      </c>
      <c r="B2728" s="2" t="str">
        <f>HYPERLINK("https://www.elsevier.com/locate/issn/1026-9185", "South African Journal of Chemical Engineering")</f>
        <v>South African Journal of Chemical Engineering</v>
      </c>
      <c r="C2728" s="1" t="s">
        <v>23</v>
      </c>
      <c r="D2728" s="1">
        <v>1150</v>
      </c>
      <c r="E2728" s="1">
        <v>1080</v>
      </c>
      <c r="F2728" s="1">
        <v>920</v>
      </c>
      <c r="G2728" s="1">
        <v>142630</v>
      </c>
    </row>
    <row r="2729" spans="1:7" x14ac:dyDescent="0.25">
      <c r="A2729" s="1" t="s">
        <v>2945</v>
      </c>
      <c r="B2729" s="2" t="str">
        <f>HYPERLINK("https://www.elsevier.com/locate/issn/2950-6166", "Space Habitation")</f>
        <v>Space Habitation</v>
      </c>
      <c r="C2729" s="1" t="s">
        <v>34</v>
      </c>
      <c r="D2729" s="1" t="s">
        <v>324</v>
      </c>
      <c r="E2729" s="1" t="s">
        <v>324</v>
      </c>
      <c r="F2729" s="1" t="s">
        <v>324</v>
      </c>
      <c r="G2729" s="1" t="s">
        <v>324</v>
      </c>
    </row>
    <row r="2730" spans="1:7" x14ac:dyDescent="0.25">
      <c r="A2730" s="1" t="s">
        <v>2946</v>
      </c>
      <c r="B2730" s="2" t="str">
        <f>HYPERLINK("https://www.elsevier.com/locate/issn/0265-9646", "Space Policy")</f>
        <v>Space Policy</v>
      </c>
      <c r="C2730" s="1" t="s">
        <v>10</v>
      </c>
      <c r="D2730" s="1">
        <v>3400</v>
      </c>
      <c r="E2730" s="1">
        <v>3180</v>
      </c>
      <c r="F2730" s="1">
        <v>2720</v>
      </c>
      <c r="G2730" s="1">
        <v>421700</v>
      </c>
    </row>
    <row r="2731" spans="1:7" x14ac:dyDescent="0.25">
      <c r="A2731" s="1" t="s">
        <v>2947</v>
      </c>
      <c r="B2731" s="2" t="str">
        <f>HYPERLINK("https://www.elsevier.com/locate/issn/2950-1040", "Space Solar Power and Wireless Transmission")</f>
        <v>Space Solar Power and Wireless Transmission</v>
      </c>
      <c r="C2731" s="1" t="s">
        <v>34</v>
      </c>
      <c r="D2731" s="1" t="s">
        <v>324</v>
      </c>
      <c r="E2731" s="1" t="s">
        <v>324</v>
      </c>
      <c r="F2731" s="1" t="s">
        <v>324</v>
      </c>
      <c r="G2731" s="1" t="s">
        <v>324</v>
      </c>
    </row>
    <row r="2732" spans="1:7" x14ac:dyDescent="0.25">
      <c r="A2732" s="1" t="s">
        <v>2948</v>
      </c>
      <c r="B2732" s="2" t="str">
        <f>HYPERLINK("https://www.elsevier.com/locate/issn/2445-4249", "Spanish Journal of Legal Medicine")</f>
        <v>Spanish Journal of Legal Medicine</v>
      </c>
      <c r="C2732" s="1" t="s">
        <v>10</v>
      </c>
      <c r="D2732" s="1">
        <v>3160</v>
      </c>
      <c r="E2732" s="1">
        <v>2960</v>
      </c>
      <c r="F2732" s="1">
        <v>2530</v>
      </c>
      <c r="G2732" s="1">
        <v>392460</v>
      </c>
    </row>
    <row r="2733" spans="1:7" x14ac:dyDescent="0.25">
      <c r="A2733" s="1" t="s">
        <v>2949</v>
      </c>
      <c r="B2733" s="2" t="str">
        <f>HYPERLINK("https://www.elsevier.com/locate/issn/2950-2853", "Spanish Journal of Psychiatry and Mental Health")</f>
        <v>Spanish Journal of Psychiatry and Mental Health</v>
      </c>
      <c r="C2733" s="1" t="s">
        <v>10</v>
      </c>
      <c r="D2733" s="1">
        <v>1910</v>
      </c>
      <c r="E2733" s="1">
        <v>1790</v>
      </c>
      <c r="F2733" s="1">
        <v>1530</v>
      </c>
      <c r="G2733" s="1">
        <v>236900</v>
      </c>
    </row>
    <row r="2734" spans="1:7" x14ac:dyDescent="0.25">
      <c r="A2734" s="1" t="s">
        <v>2950</v>
      </c>
      <c r="B2734" s="2" t="str">
        <f>HYPERLINK("https://www.elsevier.com/locate/issn/1877-5845", "Spatial and Spatio-temporal Epidemiology")</f>
        <v>Spatial and Spatio-temporal Epidemiology</v>
      </c>
      <c r="C2734" s="1" t="s">
        <v>10</v>
      </c>
      <c r="D2734" s="1">
        <v>3380</v>
      </c>
      <c r="E2734" s="1">
        <v>3160</v>
      </c>
      <c r="F2734" s="1">
        <v>2710</v>
      </c>
      <c r="G2734" s="1">
        <v>419220</v>
      </c>
    </row>
    <row r="2735" spans="1:7" x14ac:dyDescent="0.25">
      <c r="A2735" s="1" t="s">
        <v>2951</v>
      </c>
      <c r="B2735" s="2" t="str">
        <f>HYPERLINK("https://www.elsevier.com/locate/issn/2211-6753", "Spatial Statistics")</f>
        <v>Spatial Statistics</v>
      </c>
      <c r="C2735" s="1" t="s">
        <v>10</v>
      </c>
      <c r="D2735" s="1">
        <v>3590</v>
      </c>
      <c r="E2735" s="1">
        <v>3360</v>
      </c>
      <c r="F2735" s="1">
        <v>2870</v>
      </c>
      <c r="G2735" s="1">
        <v>445270</v>
      </c>
    </row>
    <row r="2736" spans="1:7" x14ac:dyDescent="0.25">
      <c r="A2736" s="1" t="s">
        <v>2952</v>
      </c>
      <c r="B2736" s="2" t="str">
        <f>HYPERLINK("https://www.elsevier.com/locate/issn/1386-1425", "Spectrochimica Acta Part A: Molecular and Biomolecular Spectroscopy")</f>
        <v>Spectrochimica Acta Part A: Molecular and Biomolecular Spectroscopy</v>
      </c>
      <c r="C2736" s="1" t="s">
        <v>10</v>
      </c>
      <c r="D2736" s="1">
        <v>3750</v>
      </c>
      <c r="E2736" s="1">
        <v>3510</v>
      </c>
      <c r="F2736" s="1">
        <v>3000</v>
      </c>
      <c r="G2736" s="1">
        <v>465110</v>
      </c>
    </row>
    <row r="2737" spans="1:7" x14ac:dyDescent="0.25">
      <c r="A2737" s="1" t="s">
        <v>2953</v>
      </c>
      <c r="B2737" s="2" t="str">
        <f>HYPERLINK("https://www.elsevier.com/locate/issn/0584-8547", "Spectrochimica Acta Part B: Atomic Spectroscopy")</f>
        <v>Spectrochimica Acta Part B: Atomic Spectroscopy</v>
      </c>
      <c r="C2737" s="1" t="s">
        <v>10</v>
      </c>
      <c r="D2737" s="1">
        <v>3530</v>
      </c>
      <c r="E2737" s="1">
        <v>3300</v>
      </c>
      <c r="F2737" s="1">
        <v>2830</v>
      </c>
      <c r="G2737" s="1">
        <v>437830</v>
      </c>
    </row>
    <row r="2738" spans="1:7" x14ac:dyDescent="0.25">
      <c r="A2738" s="1" t="s">
        <v>2954</v>
      </c>
      <c r="B2738" s="2" t="str">
        <f>HYPERLINK("https://www.elsevier.com/locate/issn/0167-6393", "Speech Communication")</f>
        <v>Speech Communication</v>
      </c>
      <c r="C2738" s="1" t="s">
        <v>10</v>
      </c>
      <c r="D2738" s="1">
        <v>2900</v>
      </c>
      <c r="E2738" s="1">
        <v>2710</v>
      </c>
      <c r="F2738" s="1">
        <v>2320</v>
      </c>
      <c r="G2738" s="1">
        <v>359690</v>
      </c>
    </row>
    <row r="2739" spans="1:7" x14ac:dyDescent="0.25">
      <c r="A2739" s="1" t="s">
        <v>2955</v>
      </c>
      <c r="B2739" s="2" t="str">
        <f>HYPERLINK("https://www.elsevier.com/locate/issn/2773-1618", "Sports Economics Review")</f>
        <v>Sports Economics Review</v>
      </c>
      <c r="C2739" s="1" t="s">
        <v>10</v>
      </c>
      <c r="D2739" s="1">
        <v>2630</v>
      </c>
      <c r="E2739" s="1">
        <v>2460</v>
      </c>
      <c r="F2739" s="1">
        <v>2110</v>
      </c>
      <c r="G2739" s="1">
        <v>326200</v>
      </c>
    </row>
    <row r="2740" spans="1:7" x14ac:dyDescent="0.25">
      <c r="A2740" s="1" t="s">
        <v>2956</v>
      </c>
      <c r="B2740" s="2" t="str">
        <f>HYPERLINK("https://www.elsevier.com/locate/issn/2666-3376", "Sports Medicine and Health Science")</f>
        <v>Sports Medicine and Health Science</v>
      </c>
      <c r="C2740" s="1" t="s">
        <v>34</v>
      </c>
      <c r="D2740" s="1" t="s">
        <v>324</v>
      </c>
      <c r="E2740" s="1" t="s">
        <v>324</v>
      </c>
      <c r="F2740" s="1" t="s">
        <v>324</v>
      </c>
      <c r="G2740" s="1" t="s">
        <v>324</v>
      </c>
    </row>
    <row r="2741" spans="1:7" x14ac:dyDescent="0.25">
      <c r="A2741" s="1" t="s">
        <v>2957</v>
      </c>
      <c r="B2741" s="2" t="str">
        <f>HYPERLINK("https://www.elsevier.com/locate/issn/0949-328X", "Sports Orthopaedics and Traumatology")</f>
        <v>Sports Orthopaedics and Traumatology</v>
      </c>
      <c r="C2741" s="1" t="s">
        <v>10</v>
      </c>
      <c r="D2741" s="1">
        <v>2270</v>
      </c>
      <c r="E2741" s="1">
        <v>2120</v>
      </c>
      <c r="F2741" s="1">
        <v>1820</v>
      </c>
      <c r="G2741" s="1">
        <v>281550</v>
      </c>
    </row>
    <row r="2742" spans="1:7" x14ac:dyDescent="0.25">
      <c r="A2742" s="1" t="s">
        <v>2958</v>
      </c>
      <c r="B2742" s="2" t="str">
        <f>HYPERLINK("https://www.elsevier.com/locate/issn/2949-8562", "SSM - Health Systems")</f>
        <v>SSM - Health Systems</v>
      </c>
      <c r="C2742" s="1" t="s">
        <v>23</v>
      </c>
      <c r="D2742" s="1">
        <v>1490</v>
      </c>
      <c r="E2742" s="1">
        <v>1390</v>
      </c>
      <c r="F2742" s="1">
        <v>1190</v>
      </c>
      <c r="G2742" s="1">
        <v>184800</v>
      </c>
    </row>
    <row r="2743" spans="1:7" x14ac:dyDescent="0.25">
      <c r="A2743" s="1" t="s">
        <v>2959</v>
      </c>
      <c r="B2743" s="2" t="str">
        <f>HYPERLINK("https://www.elsevier.com/locate/issn/2666-5603", "SSM - Mental Health")</f>
        <v>SSM - Mental Health</v>
      </c>
      <c r="C2743" s="1" t="s">
        <v>23</v>
      </c>
      <c r="D2743" s="1">
        <v>1540</v>
      </c>
      <c r="E2743" s="1">
        <v>1440</v>
      </c>
      <c r="F2743" s="1">
        <v>1230</v>
      </c>
      <c r="G2743" s="1">
        <v>191010</v>
      </c>
    </row>
    <row r="2744" spans="1:7" x14ac:dyDescent="0.25">
      <c r="A2744" s="1" t="s">
        <v>2960</v>
      </c>
      <c r="B2744" s="2" t="str">
        <f>HYPERLINK("https://www.elsevier.com/locate/issn/2352-8273", "SSM - Population Health")</f>
        <v>SSM - Population Health</v>
      </c>
      <c r="C2744" s="1" t="s">
        <v>23</v>
      </c>
      <c r="D2744" s="1">
        <v>2930</v>
      </c>
      <c r="E2744" s="1">
        <v>2740</v>
      </c>
      <c r="F2744" s="1">
        <v>2350</v>
      </c>
      <c r="G2744" s="1">
        <v>363410</v>
      </c>
    </row>
    <row r="2745" spans="1:7" x14ac:dyDescent="0.25">
      <c r="A2745" s="1" t="s">
        <v>2961</v>
      </c>
      <c r="B2745" s="2" t="str">
        <f>HYPERLINK("https://www.elsevier.com/locate/issn/2667-3215", "SSM - Qualitative Research in Health")</f>
        <v>SSM - Qualitative Research in Health</v>
      </c>
      <c r="C2745" s="1" t="s">
        <v>23</v>
      </c>
      <c r="D2745" s="1">
        <v>1720</v>
      </c>
      <c r="E2745" s="1">
        <v>1610</v>
      </c>
      <c r="F2745" s="1">
        <v>1380</v>
      </c>
      <c r="G2745" s="1">
        <v>213330</v>
      </c>
    </row>
    <row r="2746" spans="1:7" x14ac:dyDescent="0.25">
      <c r="A2746" s="1" t="s">
        <v>2962</v>
      </c>
      <c r="B2746" s="2" t="str">
        <f>HYPERLINK("https://www.elsevier.com/locate/issn/2666-1667", "STAR Protocols")</f>
        <v>STAR Protocols</v>
      </c>
      <c r="C2746" s="1" t="s">
        <v>23</v>
      </c>
      <c r="D2746" s="1">
        <v>1550</v>
      </c>
      <c r="E2746" s="1">
        <v>1440</v>
      </c>
      <c r="F2746" s="1">
        <v>1240</v>
      </c>
      <c r="G2746" s="1">
        <v>192250</v>
      </c>
    </row>
    <row r="2747" spans="1:7" x14ac:dyDescent="0.25">
      <c r="A2747" s="1" t="s">
        <v>2963</v>
      </c>
      <c r="B2747" s="2" t="str">
        <f>HYPERLINK("https://www.elsevier.com/locate/issn/0167-7152", "Statistics &amp; Probability Letters")</f>
        <v>Statistics &amp; Probability Letters</v>
      </c>
      <c r="C2747" s="1" t="s">
        <v>10</v>
      </c>
      <c r="D2747" s="1">
        <v>3180</v>
      </c>
      <c r="E2747" s="1">
        <v>2970</v>
      </c>
      <c r="F2747" s="1">
        <v>2550</v>
      </c>
      <c r="G2747" s="1">
        <v>394420</v>
      </c>
    </row>
    <row r="2748" spans="1:7" x14ac:dyDescent="0.25">
      <c r="A2748" s="1" t="s">
        <v>2964</v>
      </c>
      <c r="B2748" s="2" t="str">
        <f>HYPERLINK("https://www.elsevier.com/locate/issn/2213-6711", "Stem Cell Reports")</f>
        <v>Stem Cell Reports</v>
      </c>
      <c r="C2748" s="1" t="s">
        <v>23</v>
      </c>
      <c r="D2748" s="1">
        <v>4190</v>
      </c>
      <c r="E2748" s="1">
        <v>3880</v>
      </c>
      <c r="F2748" s="1">
        <v>3350</v>
      </c>
      <c r="G2748" s="1">
        <v>519690</v>
      </c>
    </row>
    <row r="2749" spans="1:7" x14ac:dyDescent="0.25">
      <c r="A2749" s="1" t="s">
        <v>2965</v>
      </c>
      <c r="B2749" s="2" t="str">
        <f>HYPERLINK("https://www.elsevier.com/locate/issn/1873-5061", "Stem Cell Research")</f>
        <v>Stem Cell Research</v>
      </c>
      <c r="C2749" s="1" t="s">
        <v>23</v>
      </c>
      <c r="D2749" s="1">
        <v>2360</v>
      </c>
      <c r="E2749" s="1">
        <v>2210</v>
      </c>
      <c r="F2749" s="1">
        <v>1890</v>
      </c>
      <c r="G2749" s="1">
        <v>292710</v>
      </c>
    </row>
    <row r="2750" spans="1:7" x14ac:dyDescent="0.25">
      <c r="A2750" s="1" t="s">
        <v>2966</v>
      </c>
      <c r="B2750" s="2" t="str">
        <f>HYPERLINK("https://www.elsevier.com/locate/issn/0039-128X", "Steroids")</f>
        <v>Steroids</v>
      </c>
      <c r="C2750" s="1" t="s">
        <v>10</v>
      </c>
      <c r="D2750" s="1">
        <v>3760</v>
      </c>
      <c r="E2750" s="1">
        <v>3520</v>
      </c>
      <c r="F2750" s="1">
        <v>3010</v>
      </c>
      <c r="G2750" s="1">
        <v>466350</v>
      </c>
    </row>
    <row r="2751" spans="1:7" x14ac:dyDescent="0.25">
      <c r="A2751" s="1" t="s">
        <v>2967</v>
      </c>
      <c r="B2751" s="2" t="str">
        <f>HYPERLINK("https://www.elsevier.com/locate/issn/0304-4149", "Stochastic Processes and their Applications")</f>
        <v>Stochastic Processes and their Applications</v>
      </c>
      <c r="C2751" s="1" t="s">
        <v>10</v>
      </c>
      <c r="D2751" s="1">
        <v>3520</v>
      </c>
      <c r="E2751" s="1">
        <v>3290</v>
      </c>
      <c r="F2751" s="1">
        <v>2820</v>
      </c>
      <c r="G2751" s="1">
        <v>436590</v>
      </c>
    </row>
    <row r="2752" spans="1:7" x14ac:dyDescent="0.25">
      <c r="A2752" s="1" t="s">
        <v>2968</v>
      </c>
      <c r="B2752" s="2" t="str">
        <f>HYPERLINK("https://www.elsevier.com/locate/issn/3051-0643", "Strategic Business Research")</f>
        <v>Strategic Business Research</v>
      </c>
      <c r="C2752" s="1" t="s">
        <v>10</v>
      </c>
      <c r="D2752" s="1">
        <v>3000</v>
      </c>
      <c r="E2752" s="1">
        <v>2810</v>
      </c>
      <c r="F2752" s="1">
        <v>2400</v>
      </c>
      <c r="G2752" s="1">
        <v>372090</v>
      </c>
    </row>
    <row r="2753" spans="1:7" x14ac:dyDescent="0.25">
      <c r="A2753" s="1" t="s">
        <v>2969</v>
      </c>
      <c r="B2753" s="2" t="str">
        <f>HYPERLINK("https://www.elsevier.com/locate/issn/0954-349X", "Structural Change and Economic Dynamics")</f>
        <v>Structural Change and Economic Dynamics</v>
      </c>
      <c r="C2753" s="1" t="s">
        <v>10</v>
      </c>
      <c r="D2753" s="1">
        <v>3880</v>
      </c>
      <c r="E2753" s="1">
        <v>3630</v>
      </c>
      <c r="F2753" s="1">
        <v>3110</v>
      </c>
      <c r="G2753" s="1">
        <v>481240</v>
      </c>
    </row>
    <row r="2754" spans="1:7" x14ac:dyDescent="0.25">
      <c r="A2754" s="1" t="s">
        <v>2970</v>
      </c>
      <c r="B2754" s="2" t="str">
        <f>HYPERLINK("https://www.elsevier.com/locate/issn/2474-8706", "Structural Heart")</f>
        <v>Structural Heart</v>
      </c>
      <c r="C2754" s="1" t="s">
        <v>23</v>
      </c>
      <c r="D2754" s="1">
        <v>2340</v>
      </c>
      <c r="E2754" s="1">
        <v>2190</v>
      </c>
      <c r="F2754" s="1">
        <v>1870</v>
      </c>
      <c r="G2754" s="1">
        <v>290230</v>
      </c>
    </row>
    <row r="2755" spans="1:7" x14ac:dyDescent="0.25">
      <c r="A2755" s="1" t="s">
        <v>2971</v>
      </c>
      <c r="B2755" s="2" t="str">
        <f>HYPERLINK("https://www.elsevier.com/locate/issn/0167-4730", "Structural Safety")</f>
        <v>Structural Safety</v>
      </c>
      <c r="C2755" s="1" t="s">
        <v>10</v>
      </c>
      <c r="D2755" s="1">
        <v>4430</v>
      </c>
      <c r="E2755" s="1">
        <v>4140</v>
      </c>
      <c r="F2755" s="1">
        <v>3550</v>
      </c>
      <c r="G2755" s="1">
        <v>549450</v>
      </c>
    </row>
    <row r="2756" spans="1:7" x14ac:dyDescent="0.25">
      <c r="A2756" s="1" t="s">
        <v>2972</v>
      </c>
      <c r="B2756" s="2" t="str">
        <f>HYPERLINK("https://www.elsevier.com/locate/issn/0969-2126", "Structure")</f>
        <v>Structure</v>
      </c>
      <c r="C2756" s="1" t="s">
        <v>10</v>
      </c>
      <c r="D2756" s="1">
        <v>9350</v>
      </c>
      <c r="E2756" s="1">
        <v>8660</v>
      </c>
      <c r="F2756" s="1">
        <v>7490</v>
      </c>
      <c r="G2756" s="1">
        <v>1159680</v>
      </c>
    </row>
    <row r="2757" spans="1:7" x14ac:dyDescent="0.25">
      <c r="A2757" s="1" t="s">
        <v>2973</v>
      </c>
      <c r="B2757" s="2" t="str">
        <f>HYPERLINK("https://www.elsevier.com/locate/issn/2352-0124", "Structures")</f>
        <v>Structures</v>
      </c>
      <c r="C2757" s="1" t="s">
        <v>10</v>
      </c>
      <c r="D2757" s="1">
        <v>3510</v>
      </c>
      <c r="E2757" s="1">
        <v>3280</v>
      </c>
      <c r="F2757" s="1">
        <v>2810</v>
      </c>
      <c r="G2757" s="1">
        <v>435350</v>
      </c>
    </row>
    <row r="2758" spans="1:7" x14ac:dyDescent="0.25">
      <c r="A2758" s="1" t="s">
        <v>2974</v>
      </c>
      <c r="B2758" s="2" t="str">
        <f>HYPERLINK("https://www.elsevier.com/locate/issn/0191-491X", "Studies in Educational Evaluation")</f>
        <v>Studies in Educational Evaluation</v>
      </c>
      <c r="C2758" s="1" t="s">
        <v>10</v>
      </c>
      <c r="D2758" s="1">
        <v>3570</v>
      </c>
      <c r="E2758" s="1">
        <v>3340</v>
      </c>
      <c r="F2758" s="1">
        <v>2860</v>
      </c>
      <c r="G2758" s="1">
        <v>442790</v>
      </c>
    </row>
    <row r="2759" spans="1:7" x14ac:dyDescent="0.25">
      <c r="A2759" s="1" t="s">
        <v>2975</v>
      </c>
      <c r="B2759" s="2" t="str">
        <f>HYPERLINK("https://www.elsevier.com/locate/issn/0039-3681", "Studies in History and Philosophy of Science")</f>
        <v>Studies in History and Philosophy of Science</v>
      </c>
      <c r="C2759" s="1" t="s">
        <v>10</v>
      </c>
      <c r="D2759" s="1">
        <v>2930</v>
      </c>
      <c r="E2759" s="1">
        <v>2740</v>
      </c>
      <c r="F2759" s="1">
        <v>2350</v>
      </c>
      <c r="G2759" s="1">
        <v>363410</v>
      </c>
    </row>
    <row r="2760" spans="1:7" x14ac:dyDescent="0.25">
      <c r="A2760" s="1" t="s">
        <v>2976</v>
      </c>
      <c r="B2760" s="2" t="str">
        <f>HYPERLINK("https://www.elsevier.com/locate/issn/2772-8307", "Superconductivity")</f>
        <v>Superconductivity</v>
      </c>
      <c r="C2760" s="1" t="s">
        <v>23</v>
      </c>
      <c r="D2760" s="1">
        <v>2100</v>
      </c>
      <c r="E2760" s="1">
        <v>1960</v>
      </c>
      <c r="F2760" s="1">
        <v>1680</v>
      </c>
      <c r="G2760" s="1">
        <v>260460</v>
      </c>
    </row>
    <row r="2761" spans="1:7" x14ac:dyDescent="0.25">
      <c r="A2761" s="1" t="s">
        <v>2977</v>
      </c>
      <c r="B2761" s="2" t="str">
        <f>HYPERLINK("https://www.elsevier.com/locate/issn/2949-8635", "Supply Chain Analytics")</f>
        <v>Supply Chain Analytics</v>
      </c>
      <c r="C2761" s="1" t="s">
        <v>23</v>
      </c>
      <c r="D2761" s="1">
        <v>2050</v>
      </c>
      <c r="E2761" s="1">
        <v>1920</v>
      </c>
      <c r="F2761" s="1">
        <v>1640</v>
      </c>
      <c r="G2761" s="1">
        <v>254260</v>
      </c>
    </row>
    <row r="2762" spans="1:7" x14ac:dyDescent="0.25">
      <c r="A2762" s="1" t="s">
        <v>2978</v>
      </c>
      <c r="B2762" s="2" t="str">
        <f>HYPERLINK("https://www.elsevier.com/locate/issn/2667-2405", "Supramolecular Materials")</f>
        <v>Supramolecular Materials</v>
      </c>
      <c r="C2762" s="1" t="s">
        <v>34</v>
      </c>
      <c r="D2762" s="1" t="s">
        <v>324</v>
      </c>
      <c r="E2762" s="1" t="s">
        <v>324</v>
      </c>
      <c r="F2762" s="1" t="s">
        <v>324</v>
      </c>
      <c r="G2762" s="1" t="s">
        <v>324</v>
      </c>
    </row>
    <row r="2763" spans="1:7" x14ac:dyDescent="0.25">
      <c r="A2763" s="1" t="s">
        <v>2979</v>
      </c>
      <c r="B2763" s="2" t="str">
        <f>HYPERLINK("https://www.elsevier.com/locate/issn/0257-8972", "Surface and Coatings Technology")</f>
        <v>Surface and Coatings Technology</v>
      </c>
      <c r="C2763" s="1" t="s">
        <v>10</v>
      </c>
      <c r="D2763" s="1">
        <v>3880</v>
      </c>
      <c r="E2763" s="1">
        <v>3630</v>
      </c>
      <c r="F2763" s="1">
        <v>3110</v>
      </c>
      <c r="G2763" s="1">
        <v>481240</v>
      </c>
    </row>
    <row r="2764" spans="1:7" x14ac:dyDescent="0.25">
      <c r="A2764" s="1" t="s">
        <v>2980</v>
      </c>
      <c r="B2764" s="2" t="str">
        <f>HYPERLINK("https://www.elsevier.com/locate/issn/0039-6028", "Surface Science")</f>
        <v>Surface Science</v>
      </c>
      <c r="C2764" s="1" t="s">
        <v>10</v>
      </c>
      <c r="D2764" s="1">
        <v>3340</v>
      </c>
      <c r="E2764" s="1">
        <v>3120</v>
      </c>
      <c r="F2764" s="1">
        <v>2670</v>
      </c>
      <c r="G2764" s="1">
        <v>414260</v>
      </c>
    </row>
    <row r="2765" spans="1:7" x14ac:dyDescent="0.25">
      <c r="A2765" s="1" t="s">
        <v>2981</v>
      </c>
      <c r="B2765" s="2" t="str">
        <f>HYPERLINK("https://www.elsevier.com/locate/issn/0167-5729", "Surface Science Reports")</f>
        <v>Surface Science Reports</v>
      </c>
      <c r="C2765" s="1" t="s">
        <v>10</v>
      </c>
      <c r="D2765" s="1">
        <v>4440</v>
      </c>
      <c r="E2765" s="1">
        <v>4150</v>
      </c>
      <c r="F2765" s="1">
        <v>3550</v>
      </c>
      <c r="G2765" s="1">
        <v>550690</v>
      </c>
    </row>
    <row r="2766" spans="1:7" x14ac:dyDescent="0.25">
      <c r="A2766" s="1" t="s">
        <v>2982</v>
      </c>
      <c r="B2766" s="2" t="str">
        <f>HYPERLINK("https://www.elsevier.com/locate/issn/2468-0230", "Surfaces and Interfaces")</f>
        <v>Surfaces and Interfaces</v>
      </c>
      <c r="C2766" s="1" t="s">
        <v>10</v>
      </c>
      <c r="D2766" s="1">
        <v>2670</v>
      </c>
      <c r="E2766" s="1">
        <v>2440</v>
      </c>
      <c r="F2766" s="1">
        <v>2140</v>
      </c>
      <c r="G2766" s="1">
        <v>331160</v>
      </c>
    </row>
    <row r="2767" spans="1:7" x14ac:dyDescent="0.25">
      <c r="A2767" s="1" t="s">
        <v>2983</v>
      </c>
      <c r="B2767" s="2" t="str">
        <f>HYPERLINK("https://www.elsevier.com/locate/issn/0039-6060", "Surgery")</f>
        <v>Surgery</v>
      </c>
      <c r="C2767" s="1" t="s">
        <v>10</v>
      </c>
      <c r="D2767" s="1">
        <v>4130</v>
      </c>
      <c r="E2767" s="1">
        <v>3860</v>
      </c>
      <c r="F2767" s="1">
        <v>3310</v>
      </c>
      <c r="G2767" s="1">
        <v>512240</v>
      </c>
    </row>
    <row r="2768" spans="1:7" x14ac:dyDescent="0.25">
      <c r="A2768" s="1" t="s">
        <v>2984</v>
      </c>
      <c r="B2768" s="2" t="str">
        <f>HYPERLINK("https://www.elsevier.com/locate/issn/2950-1032", "Surgery Case Reports")</f>
        <v>Surgery Case Reports</v>
      </c>
      <c r="C2768" s="1" t="s">
        <v>23</v>
      </c>
      <c r="D2768" s="1">
        <v>1330</v>
      </c>
      <c r="E2768" s="1">
        <v>1240</v>
      </c>
      <c r="F2768" s="1">
        <v>1060</v>
      </c>
      <c r="G2768" s="1">
        <v>164960</v>
      </c>
    </row>
    <row r="2769" spans="1:7" x14ac:dyDescent="0.25">
      <c r="A2769" s="1" t="s">
        <v>2985</v>
      </c>
      <c r="B2769" s="2" t="str">
        <f>HYPERLINK("https://www.elsevier.com/locate/issn/1550-7289", "Surgery for Obesity and Related Diseases")</f>
        <v>Surgery for Obesity and Related Diseases</v>
      </c>
      <c r="C2769" s="1" t="s">
        <v>10</v>
      </c>
      <c r="D2769" s="1">
        <v>3800</v>
      </c>
      <c r="E2769" s="1">
        <v>3550</v>
      </c>
      <c r="F2769" s="1">
        <v>3040</v>
      </c>
      <c r="G2769" s="1">
        <v>471310</v>
      </c>
    </row>
    <row r="2770" spans="1:7" x14ac:dyDescent="0.25">
      <c r="A2770" s="1" t="s">
        <v>2986</v>
      </c>
      <c r="B2770" s="2" t="str">
        <f>HYPERLINK("https://www.elsevier.com/locate/issn/2666-2620", "Surgery in Practice and Science")</f>
        <v>Surgery in Practice and Science</v>
      </c>
      <c r="C2770" s="1" t="s">
        <v>23</v>
      </c>
      <c r="D2770" s="1">
        <v>2020</v>
      </c>
      <c r="E2770" s="1">
        <v>1890</v>
      </c>
      <c r="F2770" s="1">
        <v>1620</v>
      </c>
      <c r="G2770" s="1">
        <v>250540</v>
      </c>
    </row>
    <row r="2771" spans="1:7" x14ac:dyDescent="0.25">
      <c r="A2771" s="1" t="s">
        <v>2987</v>
      </c>
      <c r="B2771" s="2" t="str">
        <f>HYPERLINK("https://www.elsevier.com/locate/issn/2667-0089", "Surgery Open Digestive Advance")</f>
        <v>Surgery Open Digestive Advance</v>
      </c>
      <c r="C2771" s="1" t="s">
        <v>23</v>
      </c>
      <c r="D2771" s="1">
        <v>2120</v>
      </c>
      <c r="E2771" s="1">
        <v>1980</v>
      </c>
      <c r="F2771" s="1">
        <v>1700</v>
      </c>
      <c r="G2771" s="1">
        <v>262940</v>
      </c>
    </row>
    <row r="2772" spans="1:7" x14ac:dyDescent="0.25">
      <c r="A2772" s="1" t="s">
        <v>2988</v>
      </c>
      <c r="B2772" s="2" t="str">
        <f>HYPERLINK("https://www.elsevier.com/locate/issn/2589-8450", "Surgery Open Science")</f>
        <v>Surgery Open Science</v>
      </c>
      <c r="C2772" s="1" t="s">
        <v>23</v>
      </c>
      <c r="D2772" s="1">
        <v>2230</v>
      </c>
      <c r="E2772" s="1">
        <v>2090</v>
      </c>
      <c r="F2772" s="1">
        <v>1790</v>
      </c>
      <c r="G2772" s="1">
        <v>276590</v>
      </c>
    </row>
    <row r="2773" spans="1:7" x14ac:dyDescent="0.25">
      <c r="A2773" s="1" t="s">
        <v>2989</v>
      </c>
      <c r="B2773" s="2" t="str">
        <f>HYPERLINK("https://www.elsevier.com/locate/issn/0960-7404", "Surgical Oncology")</f>
        <v>Surgical Oncology</v>
      </c>
      <c r="C2773" s="1" t="s">
        <v>10</v>
      </c>
      <c r="D2773" s="1">
        <v>3890</v>
      </c>
      <c r="E2773" s="1">
        <v>3640</v>
      </c>
      <c r="F2773" s="1">
        <v>3110</v>
      </c>
      <c r="G2773" s="1">
        <v>482480</v>
      </c>
    </row>
    <row r="2774" spans="1:7" x14ac:dyDescent="0.25">
      <c r="A2774" s="1" t="s">
        <v>2990</v>
      </c>
      <c r="B2774" s="2" t="str">
        <f>HYPERLINK("https://www.elsevier.com/locate/issn/2950-2470", "Surgical Oncology Insight")</f>
        <v>Surgical Oncology Insight</v>
      </c>
      <c r="C2774" s="1" t="s">
        <v>23</v>
      </c>
      <c r="D2774" s="1">
        <v>2300</v>
      </c>
      <c r="E2774" s="1">
        <v>2150</v>
      </c>
      <c r="F2774" s="1">
        <v>1840</v>
      </c>
      <c r="G2774" s="1">
        <v>285270</v>
      </c>
    </row>
    <row r="2775" spans="1:7" x14ac:dyDescent="0.25">
      <c r="A2775" s="1" t="s">
        <v>2991</v>
      </c>
      <c r="B2775" s="2" t="str">
        <f>HYPERLINK("https://www.elsevier.com/locate/issn/0039-6257", "Survey of Ophthalmology")</f>
        <v>Survey of Ophthalmology</v>
      </c>
      <c r="C2775" s="1" t="s">
        <v>10</v>
      </c>
      <c r="D2775" s="1">
        <v>4620</v>
      </c>
      <c r="E2775" s="1">
        <v>4320</v>
      </c>
      <c r="F2775" s="1">
        <v>3700</v>
      </c>
      <c r="G2775" s="1">
        <v>573020</v>
      </c>
    </row>
    <row r="2776" spans="1:7" x14ac:dyDescent="0.25">
      <c r="A2776" s="1" t="s">
        <v>2992</v>
      </c>
      <c r="B2776" s="2" t="str">
        <f>HYPERLINK("https://www.elsevier.com/locate/issn/2667-2596", "Sustainability Analytics and Modeling")</f>
        <v>Sustainability Analytics and Modeling</v>
      </c>
      <c r="C2776" s="1" t="s">
        <v>23</v>
      </c>
      <c r="D2776" s="1">
        <v>1400</v>
      </c>
      <c r="E2776" s="1">
        <v>1310</v>
      </c>
      <c r="F2776" s="1">
        <v>1120</v>
      </c>
      <c r="G2776" s="1">
        <v>173640</v>
      </c>
    </row>
    <row r="2777" spans="1:7" x14ac:dyDescent="0.25">
      <c r="A2777" s="1" t="s">
        <v>2993</v>
      </c>
      <c r="B2777" s="2" t="str">
        <f>HYPERLINK("https://www.elsevier.com/locate/issn/2352-5541", "Sustainable Chemistry and Pharmacy")</f>
        <v>Sustainable Chemistry and Pharmacy</v>
      </c>
      <c r="C2777" s="1" t="s">
        <v>10</v>
      </c>
      <c r="D2777" s="1">
        <v>2620</v>
      </c>
      <c r="E2777" s="1">
        <v>2450</v>
      </c>
      <c r="F2777" s="1">
        <v>2100</v>
      </c>
      <c r="G2777" s="1">
        <v>324960</v>
      </c>
    </row>
    <row r="2778" spans="1:7" x14ac:dyDescent="0.25">
      <c r="A2778" s="1" t="s">
        <v>2994</v>
      </c>
      <c r="B2778" s="2" t="str">
        <f>HYPERLINK("https://www.elsevier.com/locate/issn/3050-6212", "Sustainable Chemistry for Biodiversity")</f>
        <v>Sustainable Chemistry for Biodiversity</v>
      </c>
      <c r="C2778" s="1" t="s">
        <v>23</v>
      </c>
      <c r="D2778" s="1">
        <v>1800</v>
      </c>
      <c r="E2778" s="1">
        <v>1680</v>
      </c>
      <c r="F2778" s="1">
        <v>1440</v>
      </c>
      <c r="G2778" s="1">
        <v>223250</v>
      </c>
    </row>
    <row r="2779" spans="1:7" x14ac:dyDescent="0.25">
      <c r="A2779" s="1" t="s">
        <v>2995</v>
      </c>
      <c r="B2779" s="2" t="str">
        <f>HYPERLINK("https://www.elsevier.com/locate/issn/2772-8269", "Sustainable Chemistry for Climate Action")</f>
        <v>Sustainable Chemistry for Climate Action</v>
      </c>
      <c r="C2779" s="1" t="s">
        <v>23</v>
      </c>
      <c r="D2779" s="1">
        <v>1550</v>
      </c>
      <c r="E2779" s="1">
        <v>1450</v>
      </c>
      <c r="F2779" s="1">
        <v>1240</v>
      </c>
      <c r="G2779" s="1">
        <v>192250</v>
      </c>
    </row>
    <row r="2780" spans="1:7" x14ac:dyDescent="0.25">
      <c r="A2780" s="1" t="s">
        <v>2996</v>
      </c>
      <c r="B2780" s="2" t="str">
        <f>HYPERLINK("https://www.elsevier.com/locate/issn/2950-4775", "Sustainable Chemistry for Energy Materials")</f>
        <v>Sustainable Chemistry for Energy Materials</v>
      </c>
      <c r="C2780" s="1" t="s">
        <v>23</v>
      </c>
      <c r="D2780" s="1">
        <v>1850</v>
      </c>
      <c r="E2780" s="1">
        <v>1730</v>
      </c>
      <c r="F2780" s="1">
        <v>1480</v>
      </c>
      <c r="G2780" s="1">
        <v>229460</v>
      </c>
    </row>
    <row r="2781" spans="1:7" x14ac:dyDescent="0.25">
      <c r="A2781" s="1" t="s">
        <v>2997</v>
      </c>
      <c r="B2781" s="2" t="str">
        <f>HYPERLINK("https://www.elsevier.com/locate/issn/2949-8392", "Sustainable Chemistry for the Environment")</f>
        <v>Sustainable Chemistry for the Environment</v>
      </c>
      <c r="C2781" s="1" t="s">
        <v>23</v>
      </c>
      <c r="D2781" s="1">
        <v>1440</v>
      </c>
      <c r="E2781" s="1">
        <v>1350</v>
      </c>
      <c r="F2781" s="1">
        <v>1150</v>
      </c>
      <c r="G2781" s="1">
        <v>178600</v>
      </c>
    </row>
    <row r="2782" spans="1:7" x14ac:dyDescent="0.25">
      <c r="A2782" s="1" t="s">
        <v>2998</v>
      </c>
      <c r="B2782" s="2" t="str">
        <f>HYPERLINK("https://www.elsevier.com/locate/issn/2950-3574", "Sustainable Chemistry One World")</f>
        <v>Sustainable Chemistry One World</v>
      </c>
      <c r="C2782" s="1" t="s">
        <v>10</v>
      </c>
      <c r="D2782" s="1">
        <v>1500</v>
      </c>
      <c r="E2782" s="1">
        <v>1400</v>
      </c>
      <c r="F2782" s="1">
        <v>1200</v>
      </c>
      <c r="G2782" s="1">
        <v>186050</v>
      </c>
    </row>
    <row r="2783" spans="1:7" x14ac:dyDescent="0.25">
      <c r="A2783" s="1" t="s">
        <v>2999</v>
      </c>
      <c r="B2783" s="2" t="str">
        <f>HYPERLINK("https://www.elsevier.com/locate/issn/2210-6707", "Sustainable Cities and Society")</f>
        <v>Sustainable Cities and Society</v>
      </c>
      <c r="C2783" s="1" t="s">
        <v>10</v>
      </c>
      <c r="D2783" s="1">
        <v>4870</v>
      </c>
      <c r="E2783" s="1">
        <v>4560</v>
      </c>
      <c r="F2783" s="1">
        <v>3900</v>
      </c>
      <c r="G2783" s="1">
        <v>604030</v>
      </c>
    </row>
    <row r="2784" spans="1:7" x14ac:dyDescent="0.25">
      <c r="A2784" s="1" t="s">
        <v>3000</v>
      </c>
      <c r="B2784" s="2" t="str">
        <f>HYPERLINK("https://www.elsevier.com/locate/issn/3051-052X", "Sustainable Cities and Society: Advances")</f>
        <v>Sustainable Cities and Society: Advances</v>
      </c>
      <c r="C2784" s="1" t="s">
        <v>23</v>
      </c>
      <c r="D2784" s="1">
        <v>2800</v>
      </c>
      <c r="E2784" s="1">
        <v>2620</v>
      </c>
      <c r="F2784" s="1">
        <v>2240</v>
      </c>
      <c r="G2784" s="1">
        <v>347280</v>
      </c>
    </row>
    <row r="2785" spans="1:7" x14ac:dyDescent="0.25">
      <c r="A2785" s="1" t="s">
        <v>3001</v>
      </c>
      <c r="B2785" s="2" t="str">
        <f>HYPERLINK("https://www.elsevier.com/locate/issn/2210-5379", "Sustainable Computing: Informatics and Systems")</f>
        <v>Sustainable Computing: Informatics and Systems</v>
      </c>
      <c r="C2785" s="1" t="s">
        <v>10</v>
      </c>
      <c r="D2785" s="1">
        <v>3290</v>
      </c>
      <c r="E2785" s="1">
        <v>3080</v>
      </c>
      <c r="F2785" s="1">
        <v>2630</v>
      </c>
      <c r="G2785" s="1">
        <v>408060</v>
      </c>
    </row>
    <row r="2786" spans="1:7" x14ac:dyDescent="0.25">
      <c r="A2786" s="1" t="s">
        <v>3002</v>
      </c>
      <c r="B2786" s="2" t="str">
        <f>HYPERLINK("https://www.elsevier.com/locate/issn/2213-1388", "Sustainable Energy Technologies and Assessments")</f>
        <v>Sustainable Energy Technologies and Assessments</v>
      </c>
      <c r="C2786" s="1" t="s">
        <v>10</v>
      </c>
      <c r="D2786" s="1">
        <v>3610</v>
      </c>
      <c r="E2786" s="1">
        <v>3380</v>
      </c>
      <c r="F2786" s="1">
        <v>2890</v>
      </c>
      <c r="G2786" s="1">
        <v>447750</v>
      </c>
    </row>
    <row r="2787" spans="1:7" x14ac:dyDescent="0.25">
      <c r="A2787" s="1" t="s">
        <v>3003</v>
      </c>
      <c r="B2787" s="2" t="str">
        <f>HYPERLINK("https://www.elsevier.com/locate/issn/2666-1888", "Sustainable Futures")</f>
        <v>Sustainable Futures</v>
      </c>
      <c r="C2787" s="1" t="s">
        <v>23</v>
      </c>
      <c r="D2787" s="1">
        <v>2340</v>
      </c>
      <c r="E2787" s="1">
        <v>2190</v>
      </c>
      <c r="F2787" s="1">
        <v>1870</v>
      </c>
      <c r="G2787" s="1">
        <v>290230</v>
      </c>
    </row>
    <row r="2788" spans="1:7" x14ac:dyDescent="0.25">
      <c r="A2788" s="1" t="s">
        <v>3004</v>
      </c>
      <c r="B2788" s="2" t="str">
        <f>HYPERLINK("https://www.elsevier.com/locate/issn/2772-7378", "Sustainable Horizons")</f>
        <v>Sustainable Horizons</v>
      </c>
      <c r="C2788" s="1" t="s">
        <v>23</v>
      </c>
      <c r="D2788" s="1">
        <v>2300</v>
      </c>
      <c r="E2788" s="1">
        <v>2150</v>
      </c>
      <c r="F2788" s="1">
        <v>1840</v>
      </c>
      <c r="G2788" s="1">
        <v>285270</v>
      </c>
    </row>
    <row r="2789" spans="1:7" x14ac:dyDescent="0.25">
      <c r="A2789" s="1" t="s">
        <v>3005</v>
      </c>
      <c r="B2789" s="2" t="str">
        <f>HYPERLINK("https://www.elsevier.com/locate/issn/2667-3444", "Sustainable Manufacturing and Service Economics")</f>
        <v>Sustainable Manufacturing and Service Economics</v>
      </c>
      <c r="C2789" s="1" t="s">
        <v>23</v>
      </c>
      <c r="D2789" s="1">
        <v>1850</v>
      </c>
      <c r="E2789" s="1">
        <v>1730</v>
      </c>
      <c r="F2789" s="1">
        <v>1480</v>
      </c>
      <c r="G2789" s="1">
        <v>229460</v>
      </c>
    </row>
    <row r="2790" spans="1:7" x14ac:dyDescent="0.25">
      <c r="A2790" s="1" t="s">
        <v>3006</v>
      </c>
      <c r="B2790" s="2" t="str">
        <f>HYPERLINK("https://www.elsevier.com/locate/issn/2214-9937", "Sustainable Materials and Technologies")</f>
        <v>Sustainable Materials and Technologies</v>
      </c>
      <c r="C2790" s="1" t="s">
        <v>10</v>
      </c>
      <c r="D2790" s="1">
        <v>4150</v>
      </c>
      <c r="E2790" s="1">
        <v>3880</v>
      </c>
      <c r="F2790" s="1">
        <v>3320</v>
      </c>
      <c r="G2790" s="1">
        <v>514720</v>
      </c>
    </row>
    <row r="2791" spans="1:7" x14ac:dyDescent="0.25">
      <c r="A2791" s="1" t="s">
        <v>3007</v>
      </c>
      <c r="B2791" s="2" t="str">
        <f>HYPERLINK("https://www.elsevier.com/locate/issn/2666-4127", "Sustainable Operations and Computers")</f>
        <v>Sustainable Operations and Computers</v>
      </c>
      <c r="C2791" s="1" t="s">
        <v>34</v>
      </c>
      <c r="D2791" s="1">
        <v>700</v>
      </c>
      <c r="E2791" s="1">
        <v>650</v>
      </c>
      <c r="F2791" s="1">
        <v>560</v>
      </c>
      <c r="G2791" s="1">
        <v>86820</v>
      </c>
    </row>
    <row r="2792" spans="1:7" x14ac:dyDescent="0.25">
      <c r="A2792" s="1" t="s">
        <v>3008</v>
      </c>
      <c r="B2792" s="2" t="str">
        <f>HYPERLINK("https://www.elsevier.com/locate/issn/2352-5509", "Sustainable Production and Consumption")</f>
        <v>Sustainable Production and Consumption</v>
      </c>
      <c r="C2792" s="1" t="s">
        <v>10</v>
      </c>
      <c r="D2792" s="1">
        <v>3770</v>
      </c>
      <c r="E2792" s="1">
        <v>3530</v>
      </c>
      <c r="F2792" s="1">
        <v>3020</v>
      </c>
      <c r="G2792" s="1">
        <v>467590</v>
      </c>
    </row>
    <row r="2793" spans="1:7" x14ac:dyDescent="0.25">
      <c r="A2793" s="1" t="s">
        <v>3009</v>
      </c>
      <c r="B2793" s="2" t="str">
        <f>HYPERLINK("https://www.elsevier.com/locate/issn/2773-0328", "Sustainable Technology and Entrepreneurship")</f>
        <v>Sustainable Technology and Entrepreneurship</v>
      </c>
      <c r="C2793" s="1" t="s">
        <v>23</v>
      </c>
      <c r="D2793" s="1">
        <v>2010</v>
      </c>
      <c r="E2793" s="1">
        <v>1880</v>
      </c>
      <c r="F2793" s="1">
        <v>1610</v>
      </c>
      <c r="G2793" s="1">
        <v>249300</v>
      </c>
    </row>
    <row r="2794" spans="1:7" x14ac:dyDescent="0.25">
      <c r="A2794" s="1" t="s">
        <v>3010</v>
      </c>
      <c r="B2794" s="2" t="str">
        <f>HYPERLINK("https://www.elsevier.com/locate/issn/2210-6502", "Swarm and Evolutionary Computation")</f>
        <v>Swarm and Evolutionary Computation</v>
      </c>
      <c r="C2794" s="1" t="s">
        <v>10</v>
      </c>
      <c r="D2794" s="1">
        <v>3690</v>
      </c>
      <c r="E2794" s="1">
        <v>3450</v>
      </c>
      <c r="F2794" s="1">
        <v>2950</v>
      </c>
      <c r="G2794" s="1">
        <v>457670</v>
      </c>
    </row>
    <row r="2795" spans="1:7" x14ac:dyDescent="0.25">
      <c r="A2795" s="1" t="s">
        <v>3011</v>
      </c>
      <c r="B2795" s="2" t="str">
        <f>HYPERLINK("https://www.elsevier.com/locate/issn/2405-805X", "Synthetic and Systems Biotechnology")</f>
        <v>Synthetic and Systems Biotechnology</v>
      </c>
      <c r="C2795" s="1" t="s">
        <v>34</v>
      </c>
      <c r="D2795" s="1">
        <v>1500</v>
      </c>
      <c r="E2795" s="1">
        <v>1400</v>
      </c>
      <c r="F2795" s="1">
        <v>1200</v>
      </c>
      <c r="G2795" s="1">
        <v>186050</v>
      </c>
    </row>
    <row r="2796" spans="1:7" x14ac:dyDescent="0.25">
      <c r="A2796" s="1" t="s">
        <v>3012</v>
      </c>
      <c r="B2796" s="2" t="str">
        <f>HYPERLINK("https://www.elsevier.com/locate/issn/0379-6779", "Synthetic Metals")</f>
        <v>Synthetic Metals</v>
      </c>
      <c r="C2796" s="1" t="s">
        <v>10</v>
      </c>
      <c r="D2796" s="1">
        <v>3390</v>
      </c>
      <c r="E2796" s="1">
        <v>3170</v>
      </c>
      <c r="F2796" s="1">
        <v>2710</v>
      </c>
      <c r="G2796" s="1">
        <v>420460</v>
      </c>
    </row>
    <row r="2797" spans="1:7" x14ac:dyDescent="0.25">
      <c r="A2797" s="1" t="s">
        <v>3013</v>
      </c>
      <c r="B2797" s="2" t="str">
        <f>HYPERLINK("https://www.elsevier.com/locate/issn/0346-251X", "System")</f>
        <v>System</v>
      </c>
      <c r="C2797" s="1" t="s">
        <v>10</v>
      </c>
      <c r="D2797" s="1">
        <v>3980</v>
      </c>
      <c r="E2797" s="1">
        <v>3720</v>
      </c>
      <c r="F2797" s="1">
        <v>3190</v>
      </c>
      <c r="G2797" s="1">
        <v>493640</v>
      </c>
    </row>
    <row r="2798" spans="1:7" x14ac:dyDescent="0.25">
      <c r="A2798" s="1" t="s">
        <v>3014</v>
      </c>
      <c r="B2798" s="2" t="str">
        <f>HYPERLINK("https://www.elsevier.com/locate/issn/0723-2020", "Systematic and Applied Microbiology")</f>
        <v>Systematic and Applied Microbiology</v>
      </c>
      <c r="C2798" s="1" t="s">
        <v>10</v>
      </c>
      <c r="D2798" s="1">
        <v>4010</v>
      </c>
      <c r="E2798" s="1">
        <v>3750</v>
      </c>
      <c r="F2798" s="1">
        <v>3210</v>
      </c>
      <c r="G2798" s="1">
        <v>497360</v>
      </c>
    </row>
    <row r="2799" spans="1:7" x14ac:dyDescent="0.25">
      <c r="A2799" s="1" t="s">
        <v>3015</v>
      </c>
      <c r="B2799" s="2" t="str">
        <f>HYPERLINK("https://www.elsevier.com/locate/issn/0167-6911", "Systems &amp; Control Letters")</f>
        <v>Systems &amp; Control Letters</v>
      </c>
      <c r="C2799" s="1" t="s">
        <v>10</v>
      </c>
      <c r="D2799" s="1">
        <v>2910</v>
      </c>
      <c r="E2799" s="1">
        <v>2720</v>
      </c>
      <c r="F2799" s="1">
        <v>2330</v>
      </c>
      <c r="G2799" s="1">
        <v>360930</v>
      </c>
    </row>
    <row r="2800" spans="1:7" x14ac:dyDescent="0.25">
      <c r="A2800" s="1" t="s">
        <v>3016</v>
      </c>
      <c r="B2800" s="2" t="str">
        <f>HYPERLINK("https://www.elsevier.com/locate/issn/2772-9419", "Systems and Soft Computing")</f>
        <v>Systems and Soft Computing</v>
      </c>
      <c r="C2800" s="1" t="s">
        <v>23</v>
      </c>
      <c r="D2800" s="1">
        <v>1870</v>
      </c>
      <c r="E2800" s="1">
        <v>1750</v>
      </c>
      <c r="F2800" s="1">
        <v>1500</v>
      </c>
      <c r="G2800" s="1">
        <v>231940</v>
      </c>
    </row>
    <row r="2801" spans="1:7" x14ac:dyDescent="0.25">
      <c r="A2801" s="1" t="s">
        <v>3017</v>
      </c>
      <c r="B2801" s="2" t="str">
        <f>HYPERLINK("https://www.elsevier.com/locate/issn/1028-4559", "Taiwanese Journal of Obstetrics and Gynecology")</f>
        <v>Taiwanese Journal of Obstetrics and Gynecology</v>
      </c>
      <c r="C2801" s="1" t="s">
        <v>34</v>
      </c>
      <c r="D2801" s="1" t="s">
        <v>324</v>
      </c>
      <c r="E2801" s="1" t="s">
        <v>324</v>
      </c>
      <c r="F2801" s="1" t="s">
        <v>324</v>
      </c>
      <c r="G2801" s="1" t="s">
        <v>324</v>
      </c>
    </row>
    <row r="2802" spans="1:7" x14ac:dyDescent="0.25">
      <c r="A2802" s="1" t="s">
        <v>3018</v>
      </c>
      <c r="B2802" s="2" t="str">
        <f>HYPERLINK("https://www.elsevier.com/locate/issn/0039-9140", "Talanta")</f>
        <v>Talanta</v>
      </c>
      <c r="C2802" s="1" t="s">
        <v>10</v>
      </c>
      <c r="D2802" s="1">
        <v>4610</v>
      </c>
      <c r="E2802" s="1">
        <v>4310</v>
      </c>
      <c r="F2802" s="1">
        <v>3690</v>
      </c>
      <c r="G2802" s="1">
        <v>571780</v>
      </c>
    </row>
    <row r="2803" spans="1:7" x14ac:dyDescent="0.25">
      <c r="A2803" s="1" t="s">
        <v>3019</v>
      </c>
      <c r="B2803" s="2" t="str">
        <f>HYPERLINK("https://www.elsevier.com/locate/issn/2666-8319", "Talanta Open")</f>
        <v>Talanta Open</v>
      </c>
      <c r="C2803" s="1" t="s">
        <v>23</v>
      </c>
      <c r="D2803" s="1">
        <v>2190</v>
      </c>
      <c r="E2803" s="1">
        <v>2050</v>
      </c>
      <c r="F2803" s="1">
        <v>1750</v>
      </c>
      <c r="G2803" s="1">
        <v>271630</v>
      </c>
    </row>
    <row r="2804" spans="1:7" x14ac:dyDescent="0.25">
      <c r="A2804" s="1" t="s">
        <v>3020</v>
      </c>
      <c r="B2804" s="2" t="str">
        <f>HYPERLINK("https://www.elsevier.com/locate/issn/3050-5283", "TAO")</f>
        <v>TAO</v>
      </c>
      <c r="C2804" s="1" t="s">
        <v>34</v>
      </c>
      <c r="D2804" s="1" t="s">
        <v>324</v>
      </c>
      <c r="E2804" s="1" t="s">
        <v>324</v>
      </c>
      <c r="F2804" s="1" t="s">
        <v>324</v>
      </c>
      <c r="G2804" s="1" t="s">
        <v>324</v>
      </c>
    </row>
    <row r="2805" spans="1:7" x14ac:dyDescent="0.25">
      <c r="A2805" s="1" t="s">
        <v>3021</v>
      </c>
      <c r="B2805" s="2" t="str">
        <f>HYPERLINK("https://www.elsevier.com/locate/issn/1557-3087", "Teaching and Learning in Nursing")</f>
        <v>Teaching and Learning in Nursing</v>
      </c>
      <c r="C2805" s="1" t="s">
        <v>10</v>
      </c>
      <c r="D2805" s="1">
        <v>2700</v>
      </c>
      <c r="E2805" s="1">
        <v>2530</v>
      </c>
      <c r="F2805" s="1">
        <v>2160</v>
      </c>
      <c r="G2805" s="1">
        <v>334880</v>
      </c>
    </row>
    <row r="2806" spans="1:7" x14ac:dyDescent="0.25">
      <c r="A2806" s="1" t="s">
        <v>3022</v>
      </c>
      <c r="B2806" s="2" t="str">
        <f>HYPERLINK("https://www.elsevier.com/locate/issn/0742-051X", "Teaching and Teacher Education")</f>
        <v>Teaching and Teacher Education</v>
      </c>
      <c r="C2806" s="1" t="s">
        <v>10</v>
      </c>
      <c r="D2806" s="1">
        <v>3380</v>
      </c>
      <c r="E2806" s="1">
        <v>3160</v>
      </c>
      <c r="F2806" s="1">
        <v>2710</v>
      </c>
      <c r="G2806" s="1">
        <v>419220</v>
      </c>
    </row>
    <row r="2807" spans="1:7" ht="30" x14ac:dyDescent="0.25">
      <c r="A2807" s="1" t="s">
        <v>3023</v>
      </c>
      <c r="B2807" s="2" t="str">
        <f>HYPERLINK("https://www.elsevier.com/locate/issn/2667-3207", "Teaching and Teacher Education: Leadership and Professional Development")</f>
        <v>Teaching and Teacher Education: Leadership and Professional Development</v>
      </c>
      <c r="C2807" s="1" t="s">
        <v>23</v>
      </c>
      <c r="D2807" s="1">
        <v>1300</v>
      </c>
      <c r="E2807" s="1">
        <v>1220</v>
      </c>
      <c r="F2807" s="1">
        <v>1040</v>
      </c>
      <c r="G2807" s="1">
        <v>161240</v>
      </c>
    </row>
    <row r="2808" spans="1:7" x14ac:dyDescent="0.25">
      <c r="A2808" s="1" t="s">
        <v>3024</v>
      </c>
      <c r="B2808" s="2" t="str">
        <f>HYPERLINK("https://www.elsevier.com/locate/issn/2405-6324", "Technical Innovations &amp; Patient Support in Radiation Oncology")</f>
        <v>Technical Innovations &amp; Patient Support in Radiation Oncology</v>
      </c>
      <c r="C2808" s="1" t="s">
        <v>23</v>
      </c>
      <c r="D2808" s="1">
        <v>1410</v>
      </c>
      <c r="E2808" s="1">
        <v>1290</v>
      </c>
      <c r="F2808" s="1">
        <v>1130</v>
      </c>
      <c r="G2808" s="1">
        <v>174880</v>
      </c>
    </row>
    <row r="2809" spans="1:7" x14ac:dyDescent="0.25">
      <c r="A2809" s="1" t="s">
        <v>3025</v>
      </c>
      <c r="B2809" s="2" t="str">
        <f>HYPERLINK("https://www.elsevier.com/locate/issn/2590-0307", "Techniques and Innovations in Gastrointestinal Endoscopy")</f>
        <v>Techniques and Innovations in Gastrointestinal Endoscopy</v>
      </c>
      <c r="C2809" s="1" t="s">
        <v>10</v>
      </c>
      <c r="D2809" s="1">
        <v>2180</v>
      </c>
      <c r="E2809" s="1">
        <v>2300</v>
      </c>
      <c r="F2809" s="1">
        <v>1970</v>
      </c>
      <c r="G2809" s="1">
        <v>305110</v>
      </c>
    </row>
    <row r="2810" spans="1:7" x14ac:dyDescent="0.25">
      <c r="A2810" s="1" t="s">
        <v>3026</v>
      </c>
      <c r="B2810" s="2" t="str">
        <f>HYPERLINK("https://www.elsevier.com/locate/issn/1089-2516", "Techniques in Vascular and Interventional Radiology")</f>
        <v>Techniques in Vascular and Interventional Radiology</v>
      </c>
      <c r="C2810" s="1" t="s">
        <v>10</v>
      </c>
      <c r="D2810" s="1">
        <v>3450</v>
      </c>
      <c r="E2810" s="1">
        <v>3230</v>
      </c>
      <c r="F2810" s="1">
        <v>2760</v>
      </c>
      <c r="G2810" s="1">
        <v>427900</v>
      </c>
    </row>
    <row r="2811" spans="1:7" x14ac:dyDescent="0.25">
      <c r="A2811" s="1" t="s">
        <v>3027</v>
      </c>
      <c r="B2811" s="2" t="str">
        <f>HYPERLINK("https://www.elsevier.com/locate/issn/0040-1625", "Technological Forecasting and Social Change")</f>
        <v>Technological Forecasting and Social Change</v>
      </c>
      <c r="C2811" s="1" t="s">
        <v>10</v>
      </c>
      <c r="D2811" s="1">
        <v>3490</v>
      </c>
      <c r="E2811" s="1">
        <v>3260</v>
      </c>
      <c r="F2811" s="1">
        <v>2790</v>
      </c>
      <c r="G2811" s="1">
        <v>432860</v>
      </c>
    </row>
    <row r="2812" spans="1:7" x14ac:dyDescent="0.25">
      <c r="A2812" s="1" t="s">
        <v>3028</v>
      </c>
      <c r="B2812" s="2" t="str">
        <f>HYPERLINK("https://www.elsevier.com/locate/issn/0160-791X", "Technology in Society")</f>
        <v>Technology in Society</v>
      </c>
      <c r="C2812" s="1" t="s">
        <v>10</v>
      </c>
      <c r="D2812" s="1">
        <v>3660</v>
      </c>
      <c r="E2812" s="1">
        <v>3420</v>
      </c>
      <c r="F2812" s="1">
        <v>2930</v>
      </c>
      <c r="G2812" s="1">
        <v>453950</v>
      </c>
    </row>
    <row r="2813" spans="1:7" x14ac:dyDescent="0.25">
      <c r="A2813" s="1" t="s">
        <v>3029</v>
      </c>
      <c r="B2813" s="2" t="str">
        <f>HYPERLINK("https://www.elsevier.com/locate/issn/0166-4972", "Technovation")</f>
        <v>Technovation</v>
      </c>
      <c r="C2813" s="1" t="s">
        <v>10</v>
      </c>
      <c r="D2813" s="1">
        <v>3890</v>
      </c>
      <c r="E2813" s="1">
        <v>3640</v>
      </c>
      <c r="F2813" s="1">
        <v>3110</v>
      </c>
      <c r="G2813" s="1">
        <v>482480</v>
      </c>
    </row>
    <row r="2814" spans="1:7" x14ac:dyDescent="0.25">
      <c r="A2814" s="1" t="s">
        <v>3030</v>
      </c>
      <c r="B2814" s="2" t="str">
        <f>HYPERLINK("https://www.elsevier.com/locate/issn/0040-1951", "Tectonophysics")</f>
        <v>Tectonophysics</v>
      </c>
      <c r="C2814" s="1" t="s">
        <v>10</v>
      </c>
      <c r="D2814" s="1">
        <v>3190</v>
      </c>
      <c r="E2814" s="1">
        <v>2980</v>
      </c>
      <c r="F2814" s="1">
        <v>2550</v>
      </c>
      <c r="G2814" s="1">
        <v>395660</v>
      </c>
    </row>
    <row r="2815" spans="1:7" x14ac:dyDescent="0.25">
      <c r="A2815" s="1" t="s">
        <v>3031</v>
      </c>
      <c r="B2815" s="2" t="str">
        <f>HYPERLINK("https://www.elsevier.com/locate/issn/0308-5961", "Telecommunications Policy")</f>
        <v>Telecommunications Policy</v>
      </c>
      <c r="C2815" s="1" t="s">
        <v>10</v>
      </c>
      <c r="D2815" s="1">
        <v>3870</v>
      </c>
      <c r="E2815" s="1">
        <v>3620</v>
      </c>
      <c r="F2815" s="1">
        <v>3100</v>
      </c>
      <c r="G2815" s="1">
        <v>480000</v>
      </c>
    </row>
    <row r="2816" spans="1:7" x14ac:dyDescent="0.25">
      <c r="A2816" s="1" t="s">
        <v>3032</v>
      </c>
      <c r="B2816" s="2" t="str">
        <f>HYPERLINK("https://www.elsevier.com/locate/issn/0736-5853", "Telematics and Informatics")</f>
        <v>Telematics and Informatics</v>
      </c>
      <c r="C2816" s="1" t="s">
        <v>10</v>
      </c>
      <c r="D2816" s="1">
        <v>4020</v>
      </c>
      <c r="E2816" s="1">
        <v>3760</v>
      </c>
      <c r="F2816" s="1">
        <v>3220</v>
      </c>
      <c r="G2816" s="1">
        <v>498600</v>
      </c>
    </row>
    <row r="2817" spans="1:7" x14ac:dyDescent="0.25">
      <c r="A2817" s="1" t="s">
        <v>3033</v>
      </c>
      <c r="B2817" s="2" t="str">
        <f>HYPERLINK("https://www.elsevier.com/locate/issn/2772-5030", "Telematics and Informatics Reports")</f>
        <v>Telematics and Informatics Reports</v>
      </c>
      <c r="C2817" s="1" t="s">
        <v>23</v>
      </c>
      <c r="D2817" s="1">
        <v>1790</v>
      </c>
      <c r="E2817" s="1">
        <v>1670</v>
      </c>
      <c r="F2817" s="1">
        <v>1430</v>
      </c>
      <c r="G2817" s="1">
        <v>222010</v>
      </c>
    </row>
    <row r="2818" spans="1:7" x14ac:dyDescent="0.25">
      <c r="A2818" s="1" t="s">
        <v>3034</v>
      </c>
      <c r="B2818" s="2" t="str">
        <f>HYPERLINK("https://www.elsevier.com/locate/issn/0040-4020", "Tetrahedron")</f>
        <v>Tetrahedron</v>
      </c>
      <c r="C2818" s="1" t="s">
        <v>10</v>
      </c>
      <c r="D2818" s="1">
        <v>3680</v>
      </c>
      <c r="E2818" s="1">
        <v>3440</v>
      </c>
      <c r="F2818" s="1">
        <v>2950</v>
      </c>
      <c r="G2818" s="1">
        <v>456430</v>
      </c>
    </row>
    <row r="2819" spans="1:7" x14ac:dyDescent="0.25">
      <c r="A2819" s="1" t="s">
        <v>3035</v>
      </c>
      <c r="B2819" s="2" t="str">
        <f>HYPERLINK("https://www.elsevier.com/locate/issn/2666-951X", "Tetrahedron Chem")</f>
        <v>Tetrahedron Chem</v>
      </c>
      <c r="C2819" s="1" t="s">
        <v>23</v>
      </c>
      <c r="D2819" s="1">
        <v>2660</v>
      </c>
      <c r="E2819" s="1">
        <v>2490</v>
      </c>
      <c r="F2819" s="1">
        <v>2130</v>
      </c>
      <c r="G2819" s="1">
        <v>329920</v>
      </c>
    </row>
    <row r="2820" spans="1:7" x14ac:dyDescent="0.25">
      <c r="A2820" s="1" t="s">
        <v>3036</v>
      </c>
      <c r="B2820" s="2" t="str">
        <f>HYPERLINK("https://www.elsevier.com/locate/issn/2773-2231", "Tetrahedron Green Chem")</f>
        <v>Tetrahedron Green Chem</v>
      </c>
      <c r="C2820" s="1" t="s">
        <v>23</v>
      </c>
      <c r="D2820" s="1">
        <v>1850</v>
      </c>
      <c r="E2820" s="1">
        <v>1730</v>
      </c>
      <c r="F2820" s="1">
        <v>1480</v>
      </c>
      <c r="G2820" s="1">
        <v>229460</v>
      </c>
    </row>
    <row r="2821" spans="1:7" x14ac:dyDescent="0.25">
      <c r="A2821" s="1" t="s">
        <v>3037</v>
      </c>
      <c r="B2821" s="2" t="str">
        <f>HYPERLINK("https://www.elsevier.com/locate/issn/0040-4039", "Tetrahedron Letters")</f>
        <v>Tetrahedron Letters</v>
      </c>
      <c r="C2821" s="1" t="s">
        <v>10</v>
      </c>
      <c r="D2821" s="1">
        <v>3610</v>
      </c>
      <c r="E2821" s="1">
        <v>3380</v>
      </c>
      <c r="F2821" s="1">
        <v>2890</v>
      </c>
      <c r="G2821" s="1">
        <v>447750</v>
      </c>
    </row>
    <row r="2822" spans="1:7" x14ac:dyDescent="0.25">
      <c r="A2822" s="1" t="s">
        <v>3038</v>
      </c>
      <c r="B2822" s="2" t="str">
        <f>HYPERLINK("https://www.elsevier.com/locate/issn/0002-9149", "The American Journal of Cardiology")</f>
        <v>The American Journal of Cardiology</v>
      </c>
      <c r="C2822" s="1" t="s">
        <v>10</v>
      </c>
      <c r="D2822" s="1">
        <v>3380</v>
      </c>
      <c r="E2822" s="1">
        <v>3160</v>
      </c>
      <c r="F2822" s="1">
        <v>2710</v>
      </c>
      <c r="G2822" s="1">
        <v>419220</v>
      </c>
    </row>
    <row r="2823" spans="1:7" x14ac:dyDescent="0.25">
      <c r="A2823" s="1" t="s">
        <v>3039</v>
      </c>
      <c r="B2823" s="2" t="str">
        <f>HYPERLINK("https://www.elsevier.com/locate/issn/0002-9165", "The American Journal of Clinical Nutrition")</f>
        <v>The American Journal of Clinical Nutrition</v>
      </c>
      <c r="C2823" s="1" t="s">
        <v>10</v>
      </c>
      <c r="D2823" s="1">
        <v>5200</v>
      </c>
      <c r="E2823" s="1">
        <v>4860</v>
      </c>
      <c r="F2823" s="1">
        <v>4160</v>
      </c>
      <c r="G2823" s="1">
        <v>644960</v>
      </c>
    </row>
    <row r="2824" spans="1:7" x14ac:dyDescent="0.25">
      <c r="A2824" s="1" t="s">
        <v>3040</v>
      </c>
      <c r="B2824" s="2" t="str">
        <f>HYPERLINK("https://www.elsevier.com/locate/issn/1064-7481", "The American Journal of Geriatric Psychiatry")</f>
        <v>The American Journal of Geriatric Psychiatry</v>
      </c>
      <c r="C2824" s="1" t="s">
        <v>10</v>
      </c>
      <c r="D2824" s="1">
        <v>4400</v>
      </c>
      <c r="E2824" s="1">
        <v>4120</v>
      </c>
      <c r="F2824" s="1">
        <v>3520</v>
      </c>
      <c r="G2824" s="1">
        <v>545730</v>
      </c>
    </row>
    <row r="2825" spans="1:7" x14ac:dyDescent="0.25">
      <c r="A2825" s="1" t="s">
        <v>3041</v>
      </c>
      <c r="B2825" s="2" t="str">
        <f>HYPERLINK("https://www.elsevier.com/locate/issn/0002-9297", "The American Journal of Human Genetics")</f>
        <v>The American Journal of Human Genetics</v>
      </c>
      <c r="C2825" s="1" t="s">
        <v>10</v>
      </c>
      <c r="D2825" s="1">
        <v>5150</v>
      </c>
      <c r="E2825" s="1">
        <v>4770</v>
      </c>
      <c r="F2825" s="1">
        <v>4120</v>
      </c>
      <c r="G2825" s="1">
        <v>638750</v>
      </c>
    </row>
    <row r="2826" spans="1:7" x14ac:dyDescent="0.25">
      <c r="A2826" s="1" t="s">
        <v>3042</v>
      </c>
      <c r="B2826" s="2" t="str">
        <f>HYPERLINK("https://www.elsevier.com/locate/issn/0002-9343", "The American Journal of Medicine")</f>
        <v>The American Journal of Medicine</v>
      </c>
      <c r="C2826" s="1" t="s">
        <v>10</v>
      </c>
      <c r="D2826" s="1">
        <v>3770</v>
      </c>
      <c r="E2826" s="1">
        <v>3530</v>
      </c>
      <c r="F2826" s="1">
        <v>3020</v>
      </c>
      <c r="G2826" s="1">
        <v>467590</v>
      </c>
    </row>
    <row r="2827" spans="1:7" x14ac:dyDescent="0.25">
      <c r="A2827" s="1" t="s">
        <v>3043</v>
      </c>
      <c r="B2827" s="2" t="str">
        <f>HYPERLINK("https://www.elsevier.com/locate/issn/0002-9440", "The American Journal of Pathology")</f>
        <v>The American Journal of Pathology</v>
      </c>
      <c r="C2827" s="1" t="s">
        <v>10</v>
      </c>
      <c r="D2827" s="1">
        <v>2800</v>
      </c>
      <c r="E2827" s="1">
        <v>2620</v>
      </c>
      <c r="F2827" s="1">
        <v>2240</v>
      </c>
      <c r="G2827" s="1">
        <v>347280</v>
      </c>
    </row>
    <row r="2828" spans="1:7" x14ac:dyDescent="0.25">
      <c r="A2828" s="1" t="s">
        <v>3044</v>
      </c>
      <c r="B2828" s="2" t="str">
        <f>HYPERLINK("https://www.elsevier.com/locate/issn/0002-9610", "The American Journal of Surgery")</f>
        <v>The American Journal of Surgery</v>
      </c>
      <c r="C2828" s="1" t="s">
        <v>10</v>
      </c>
      <c r="D2828" s="1">
        <v>3830</v>
      </c>
      <c r="E2828" s="1">
        <v>3580</v>
      </c>
      <c r="F2828" s="1">
        <v>3070</v>
      </c>
      <c r="G2828" s="1">
        <v>475030</v>
      </c>
    </row>
    <row r="2829" spans="1:7" x14ac:dyDescent="0.25">
      <c r="A2829" s="1" t="s">
        <v>3045</v>
      </c>
      <c r="B2829" s="2" t="str">
        <f>HYPERLINK("https://www.elsevier.com/locate/issn/0002-9629", "The American Journal of the Medical Sciences")</f>
        <v>The American Journal of the Medical Sciences</v>
      </c>
      <c r="C2829" s="1" t="s">
        <v>10</v>
      </c>
      <c r="D2829" s="1">
        <v>2940</v>
      </c>
      <c r="E2829" s="1">
        <v>2750</v>
      </c>
      <c r="F2829" s="1">
        <v>2350</v>
      </c>
      <c r="G2829" s="1">
        <v>364650</v>
      </c>
    </row>
    <row r="2830" spans="1:7" x14ac:dyDescent="0.25">
      <c r="A2830" s="1" t="s">
        <v>3046</v>
      </c>
      <c r="B2830" s="2" t="str">
        <f>HYPERLINK("https://www.elsevier.com/locate/issn/0003-4975", "The Annals of Thoracic Surgery")</f>
        <v>The Annals of Thoracic Surgery</v>
      </c>
      <c r="C2830" s="1" t="s">
        <v>10</v>
      </c>
      <c r="D2830" s="1">
        <v>3200</v>
      </c>
      <c r="E2830" s="1">
        <v>2990</v>
      </c>
      <c r="F2830" s="1">
        <v>2560</v>
      </c>
      <c r="G2830" s="1">
        <v>396900</v>
      </c>
    </row>
    <row r="2831" spans="1:7" x14ac:dyDescent="0.25">
      <c r="A2831" s="1" t="s">
        <v>3047</v>
      </c>
      <c r="B2831" s="2" t="str">
        <f>HYPERLINK("https://www.elsevier.com/locate/issn/0197-4556", "The Arts in Psychotherapy")</f>
        <v>The Arts in Psychotherapy</v>
      </c>
      <c r="C2831" s="1" t="s">
        <v>10</v>
      </c>
      <c r="D2831" s="1">
        <v>3500</v>
      </c>
      <c r="E2831" s="1">
        <v>3270</v>
      </c>
      <c r="F2831" s="1">
        <v>2800</v>
      </c>
      <c r="G2831" s="1">
        <v>434110</v>
      </c>
    </row>
    <row r="2832" spans="1:7" x14ac:dyDescent="0.25">
      <c r="A2832" s="1" t="s">
        <v>3048</v>
      </c>
      <c r="B2832" s="2" t="str">
        <f>HYPERLINK("https://www.elsevier.com/locate/issn/2092-5212", "The Asian Journal of Shipping and Logistics")</f>
        <v>The Asian Journal of Shipping and Logistics</v>
      </c>
      <c r="C2832" s="1" t="s">
        <v>23</v>
      </c>
      <c r="D2832" s="1">
        <v>1350</v>
      </c>
      <c r="E2832" s="1">
        <v>1260</v>
      </c>
      <c r="F2832" s="1">
        <v>1080</v>
      </c>
      <c r="G2832" s="1">
        <v>167440</v>
      </c>
    </row>
    <row r="2833" spans="1:7" x14ac:dyDescent="0.25">
      <c r="A2833" s="1" t="s">
        <v>3049</v>
      </c>
      <c r="B2833" s="2" t="str">
        <f>HYPERLINK("https://www.elsevier.com/locate/issn/1413-8670", "The Brazilian Journal of Infectious Diseases")</f>
        <v>The Brazilian Journal of Infectious Diseases</v>
      </c>
      <c r="C2833" s="1" t="s">
        <v>23</v>
      </c>
      <c r="D2833" s="1">
        <v>1600</v>
      </c>
      <c r="E2833" s="1">
        <v>1500</v>
      </c>
      <c r="F2833" s="1">
        <v>1280</v>
      </c>
      <c r="G2833" s="1">
        <v>198450</v>
      </c>
    </row>
    <row r="2834" spans="1:7" x14ac:dyDescent="0.25">
      <c r="A2834" s="1" t="s">
        <v>3050</v>
      </c>
      <c r="B2834" s="2" t="str">
        <f>HYPERLINK("https://www.elsevier.com/locate/issn/0960-9776", "The Breast")</f>
        <v>The Breast</v>
      </c>
      <c r="C2834" s="1" t="s">
        <v>23</v>
      </c>
      <c r="D2834" s="1">
        <v>3200</v>
      </c>
      <c r="E2834" s="1">
        <v>2990</v>
      </c>
      <c r="F2834" s="1">
        <v>2560</v>
      </c>
      <c r="G2834" s="1">
        <v>396900</v>
      </c>
    </row>
    <row r="2835" spans="1:7" x14ac:dyDescent="0.25">
      <c r="A2835" s="1" t="s">
        <v>3051</v>
      </c>
      <c r="B2835" s="2" t="str">
        <f>HYPERLINK("https://www.elsevier.com/locate/issn/0890-8389", "The British Accounting Review")</f>
        <v>The British Accounting Review</v>
      </c>
      <c r="C2835" s="1" t="s">
        <v>10</v>
      </c>
      <c r="D2835" s="1">
        <v>3770</v>
      </c>
      <c r="E2835" s="1">
        <v>3530</v>
      </c>
      <c r="F2835" s="1">
        <v>3020</v>
      </c>
      <c r="G2835" s="1">
        <v>467590</v>
      </c>
    </row>
    <row r="2836" spans="1:7" x14ac:dyDescent="0.25">
      <c r="A2836" s="1" t="s">
        <v>3052</v>
      </c>
      <c r="B2836" s="2" t="str">
        <f>HYPERLINK("https://www.elsevier.com/locate/issn/2468-2330", "The Cell Surface")</f>
        <v>The Cell Surface</v>
      </c>
      <c r="C2836" s="1" t="s">
        <v>23</v>
      </c>
      <c r="D2836" s="1">
        <v>2530</v>
      </c>
      <c r="E2836" s="1">
        <v>2370</v>
      </c>
      <c r="F2836" s="1">
        <v>2030</v>
      </c>
      <c r="G2836" s="1">
        <v>313800</v>
      </c>
    </row>
    <row r="2837" spans="1:7" x14ac:dyDescent="0.25">
      <c r="A2837" s="1" t="s">
        <v>3053</v>
      </c>
      <c r="B2837" s="2" t="str">
        <f>HYPERLINK("https://www.elsevier.com/locate/issn/2214-5141", "The Crop Journal")</f>
        <v>The Crop Journal</v>
      </c>
      <c r="C2837" s="1" t="s">
        <v>34</v>
      </c>
      <c r="D2837" s="1" t="s">
        <v>324</v>
      </c>
      <c r="E2837" s="1" t="s">
        <v>324</v>
      </c>
      <c r="F2837" s="1" t="s">
        <v>324</v>
      </c>
      <c r="G2837" s="1" t="s">
        <v>324</v>
      </c>
    </row>
    <row r="2838" spans="1:7" x14ac:dyDescent="0.25">
      <c r="A2838" s="1" t="s">
        <v>3054</v>
      </c>
      <c r="B2838" s="2" t="str">
        <f>HYPERLINK("https://www.elsevier.com/locate/issn/1110-9823", "The Egyptian Journal of Remote Sensing and Space Science")</f>
        <v>The Egyptian Journal of Remote Sensing and Space Science</v>
      </c>
      <c r="C2838" s="1" t="s">
        <v>23</v>
      </c>
      <c r="D2838" s="1">
        <v>900</v>
      </c>
      <c r="E2838" s="1">
        <v>840</v>
      </c>
      <c r="F2838" s="1">
        <v>720</v>
      </c>
      <c r="G2838" s="1">
        <v>111630</v>
      </c>
    </row>
    <row r="2839" spans="1:7" x14ac:dyDescent="0.25">
      <c r="A2839" s="1" t="s">
        <v>3055</v>
      </c>
      <c r="B2839" s="2" t="str">
        <f>HYPERLINK("https://www.elsevier.com/locate/issn/1110-1164", "The Egyptian Rheumatologist")</f>
        <v>The Egyptian Rheumatologist</v>
      </c>
      <c r="C2839" s="1" t="s">
        <v>10</v>
      </c>
      <c r="D2839" s="1">
        <v>1500</v>
      </c>
      <c r="E2839" s="1">
        <v>1400</v>
      </c>
      <c r="F2839" s="1">
        <v>1200</v>
      </c>
      <c r="G2839" s="1">
        <v>186050</v>
      </c>
    </row>
    <row r="2840" spans="1:7" x14ac:dyDescent="0.25">
      <c r="A2840" s="1" t="s">
        <v>3056</v>
      </c>
      <c r="B2840" s="2" t="str">
        <f>HYPERLINK("https://www.elsevier.com/locate/issn/1040-6190", "The Electricity Journal")</f>
        <v>The Electricity Journal</v>
      </c>
      <c r="C2840" s="1" t="s">
        <v>10</v>
      </c>
      <c r="D2840" s="1">
        <v>2600</v>
      </c>
      <c r="E2840" s="1">
        <v>2430</v>
      </c>
      <c r="F2840" s="1">
        <v>2080</v>
      </c>
      <c r="G2840" s="1">
        <v>322480</v>
      </c>
    </row>
    <row r="2841" spans="1:7" x14ac:dyDescent="0.25">
      <c r="A2841" s="1" t="s">
        <v>3057</v>
      </c>
      <c r="B2841" s="2" t="str">
        <f>HYPERLINK("https://www.elsevier.com/locate/issn/0213-6163", "The European Journal of Psychiatry")</f>
        <v>The European Journal of Psychiatry</v>
      </c>
      <c r="C2841" s="1" t="s">
        <v>10</v>
      </c>
      <c r="D2841" s="1">
        <v>1910</v>
      </c>
      <c r="E2841" s="1">
        <v>1790</v>
      </c>
      <c r="F2841" s="1">
        <v>1530</v>
      </c>
      <c r="G2841" s="1">
        <v>236900</v>
      </c>
    </row>
    <row r="2842" spans="1:7" x14ac:dyDescent="0.25">
      <c r="A2842" s="1" t="s">
        <v>3058</v>
      </c>
      <c r="B2842" s="2" t="str">
        <f>HYPERLINK("https://www.elsevier.com/locate/issn/2214-790X", "The Extractive Industries and Society")</f>
        <v>The Extractive Industries and Society</v>
      </c>
      <c r="C2842" s="1" t="s">
        <v>10</v>
      </c>
      <c r="D2842" s="1">
        <v>3470</v>
      </c>
      <c r="E2842" s="1">
        <v>3250</v>
      </c>
      <c r="F2842" s="1">
        <v>2780</v>
      </c>
      <c r="G2842" s="1">
        <v>430380</v>
      </c>
    </row>
    <row r="2843" spans="1:7" x14ac:dyDescent="0.25">
      <c r="A2843" s="1" t="s">
        <v>3059</v>
      </c>
      <c r="B2843" s="2" t="str">
        <f>HYPERLINK("https://www.elsevier.com/locate/issn/0958-2592", "The Foot")</f>
        <v>The Foot</v>
      </c>
      <c r="C2843" s="1" t="s">
        <v>10</v>
      </c>
      <c r="D2843" s="1">
        <v>3250</v>
      </c>
      <c r="E2843" s="1">
        <v>3040</v>
      </c>
      <c r="F2843" s="1">
        <v>2600</v>
      </c>
      <c r="G2843" s="1">
        <v>403100</v>
      </c>
    </row>
    <row r="2844" spans="1:7" x14ac:dyDescent="0.25">
      <c r="A2844" s="1" t="s">
        <v>3060</v>
      </c>
      <c r="B2844" s="2" t="str">
        <f>HYPERLINK("https://www.elsevier.com/locate/issn/2950-3930", "The French Journal of Urology")</f>
        <v>The French Journal of Urology</v>
      </c>
      <c r="C2844" s="1" t="s">
        <v>10</v>
      </c>
      <c r="D2844" s="1">
        <v>1910</v>
      </c>
      <c r="E2844" s="1">
        <v>1740</v>
      </c>
      <c r="F2844" s="1">
        <v>1530</v>
      </c>
      <c r="G2844" s="1">
        <v>236900</v>
      </c>
    </row>
    <row r="2845" spans="1:7" x14ac:dyDescent="0.25">
      <c r="A2845" s="1" t="s">
        <v>3061</v>
      </c>
      <c r="B2845" s="2" t="str">
        <f>HYPERLINK("https://www.elsevier.com/locate/issn/2666-6758", "The Innovation")</f>
        <v>The Innovation</v>
      </c>
      <c r="C2845" s="1" t="s">
        <v>23</v>
      </c>
      <c r="D2845" s="1">
        <v>5000</v>
      </c>
      <c r="E2845" s="1">
        <v>4630</v>
      </c>
      <c r="F2845" s="1">
        <v>4000</v>
      </c>
      <c r="G2845" s="1">
        <v>620150</v>
      </c>
    </row>
    <row r="2846" spans="1:7" x14ac:dyDescent="0.25">
      <c r="A2846" s="1" t="s">
        <v>3062</v>
      </c>
      <c r="B2846" s="2" t="str">
        <f>HYPERLINK("https://www.elsevier.com/locate/issn/1357-2725", "The International Journal of Biochemistry &amp; Cell Biology")</f>
        <v>The International Journal of Biochemistry &amp; Cell Biology</v>
      </c>
      <c r="C2846" s="1" t="s">
        <v>10</v>
      </c>
      <c r="D2846" s="1">
        <v>3840</v>
      </c>
      <c r="E2846" s="1">
        <v>3590</v>
      </c>
      <c r="F2846" s="1">
        <v>3070</v>
      </c>
      <c r="G2846" s="1">
        <v>476280</v>
      </c>
    </row>
    <row r="2847" spans="1:7" x14ac:dyDescent="0.25">
      <c r="A2847" s="1" t="s">
        <v>3063</v>
      </c>
      <c r="B2847" s="2" t="str">
        <f>HYPERLINK("https://www.elsevier.com/locate/issn/1472-8117", "The International Journal of Management Education")</f>
        <v>The International Journal of Management Education</v>
      </c>
      <c r="C2847" s="1" t="s">
        <v>10</v>
      </c>
      <c r="D2847" s="1">
        <v>4130</v>
      </c>
      <c r="E2847" s="1">
        <v>3860</v>
      </c>
      <c r="F2847" s="1">
        <v>3310</v>
      </c>
      <c r="G2847" s="1">
        <v>512240</v>
      </c>
    </row>
    <row r="2848" spans="1:7" x14ac:dyDescent="0.25">
      <c r="A2848" s="1" t="s">
        <v>3064</v>
      </c>
      <c r="B2848" s="2" t="str">
        <f>HYPERLINK("https://www.elsevier.com/locate/issn/1096-7516", "The Internet and Higher Education")</f>
        <v>The Internet and Higher Education</v>
      </c>
      <c r="C2848" s="1" t="s">
        <v>10</v>
      </c>
      <c r="D2848" s="1">
        <v>4120</v>
      </c>
      <c r="E2848" s="1">
        <v>3850</v>
      </c>
      <c r="F2848" s="1">
        <v>3300</v>
      </c>
      <c r="G2848" s="1">
        <v>511000</v>
      </c>
    </row>
    <row r="2849" spans="1:7" x14ac:dyDescent="0.25">
      <c r="A2849" s="1" t="s">
        <v>3065</v>
      </c>
      <c r="B2849" s="2" t="str">
        <f>HYPERLINK("https://www.elsevier.com/locate/issn/1553-7250", "The Joint Commission Journal on Quality and Patient Safety")</f>
        <v>The Joint Commission Journal on Quality and Patient Safety</v>
      </c>
      <c r="C2849" s="1" t="s">
        <v>10</v>
      </c>
      <c r="D2849" s="1">
        <v>3510</v>
      </c>
      <c r="E2849" s="1">
        <v>3280</v>
      </c>
      <c r="F2849" s="1">
        <v>2810</v>
      </c>
      <c r="G2849" s="1">
        <v>435350</v>
      </c>
    </row>
    <row r="2850" spans="1:7" x14ac:dyDescent="0.25">
      <c r="A2850" s="1" t="s">
        <v>3066</v>
      </c>
      <c r="B2850" s="2" t="str">
        <f>HYPERLINK("https://www.elsevier.com/locate/issn/1555-4155", "The Journal for Nurse Practitioners")</f>
        <v>The Journal for Nurse Practitioners</v>
      </c>
      <c r="C2850" s="1" t="s">
        <v>10</v>
      </c>
      <c r="D2850" s="1">
        <v>2590</v>
      </c>
      <c r="E2850" s="1">
        <v>2420</v>
      </c>
      <c r="F2850" s="1">
        <v>2070</v>
      </c>
      <c r="G2850" s="1">
        <v>321240</v>
      </c>
    </row>
    <row r="2851" spans="1:7" x14ac:dyDescent="0.25">
      <c r="A2851" s="1" t="s">
        <v>3067</v>
      </c>
      <c r="B2851" s="2" t="str">
        <f>HYPERLINK("https://www.elsevier.com/locate/issn/0099-1333", "The Journal of Academic Librarianship")</f>
        <v>The Journal of Academic Librarianship</v>
      </c>
      <c r="C2851" s="1" t="s">
        <v>10</v>
      </c>
      <c r="D2851" s="1">
        <v>3990</v>
      </c>
      <c r="E2851" s="1">
        <v>3730</v>
      </c>
      <c r="F2851" s="1">
        <v>3190</v>
      </c>
      <c r="G2851" s="1">
        <v>494880</v>
      </c>
    </row>
    <row r="2852" spans="1:7" x14ac:dyDescent="0.25">
      <c r="A2852" s="1" t="s">
        <v>3068</v>
      </c>
      <c r="B2852" s="2" t="str">
        <f>HYPERLINK("https://www.elsevier.com/locate/issn/2534-773X", "The Journal of Aging Research &amp; Lifestyle")</f>
        <v>The Journal of Aging Research &amp; Lifestyle</v>
      </c>
      <c r="C2852" s="1" t="s">
        <v>23</v>
      </c>
      <c r="D2852" s="1">
        <v>1640</v>
      </c>
      <c r="E2852" s="1">
        <v>1530</v>
      </c>
      <c r="F2852" s="1">
        <v>1320</v>
      </c>
      <c r="G2852" s="1">
        <v>203410</v>
      </c>
    </row>
    <row r="2853" spans="1:7" x14ac:dyDescent="0.25">
      <c r="A2853" s="1" t="s">
        <v>3069</v>
      </c>
      <c r="B2853" s="2" t="str">
        <f>HYPERLINK("https://www.elsevier.com/locate/issn/2213-2198", "The Journal of Allergy and Clinical Immunology: In Practice")</f>
        <v>The Journal of Allergy and Clinical Immunology: In Practice</v>
      </c>
      <c r="C2853" s="1" t="s">
        <v>10</v>
      </c>
      <c r="D2853" s="1">
        <v>4000</v>
      </c>
      <c r="E2853" s="1">
        <v>3740</v>
      </c>
      <c r="F2853" s="1">
        <v>3200</v>
      </c>
      <c r="G2853" s="1">
        <v>496120</v>
      </c>
    </row>
    <row r="2854" spans="1:7" x14ac:dyDescent="0.25">
      <c r="A2854" s="1" t="s">
        <v>3070</v>
      </c>
      <c r="B2854" s="2" t="str">
        <f>HYPERLINK("https://www.elsevier.com/locate/issn/0021-9614", "The Journal of Chemical Thermodynamics")</f>
        <v>The Journal of Chemical Thermodynamics</v>
      </c>
      <c r="C2854" s="1" t="s">
        <v>10</v>
      </c>
      <c r="D2854" s="1">
        <v>3630</v>
      </c>
      <c r="E2854" s="1">
        <v>3400</v>
      </c>
      <c r="F2854" s="1">
        <v>2910</v>
      </c>
      <c r="G2854" s="1">
        <v>450230</v>
      </c>
    </row>
    <row r="2855" spans="1:7" x14ac:dyDescent="0.25">
      <c r="A2855" s="1" t="s">
        <v>3071</v>
      </c>
      <c r="B2855" s="2" t="str">
        <f>HYPERLINK("https://www.elsevier.com/locate/issn/2667-2782", "The Journal of Climate Change and Health")</f>
        <v>The Journal of Climate Change and Health</v>
      </c>
      <c r="C2855" s="1" t="s">
        <v>23</v>
      </c>
      <c r="D2855" s="1">
        <v>2200</v>
      </c>
      <c r="E2855" s="1">
        <v>2060</v>
      </c>
      <c r="F2855" s="1">
        <v>1760</v>
      </c>
      <c r="G2855" s="1">
        <v>272870</v>
      </c>
    </row>
    <row r="2856" spans="1:7" x14ac:dyDescent="0.25">
      <c r="A2856" s="1" t="s">
        <v>3072</v>
      </c>
      <c r="B2856" s="2" t="str">
        <f>HYPERLINK("https://www.elsevier.com/locate/issn/1703-4949", "The Journal of Economic Asymmetries")</f>
        <v>The Journal of Economic Asymmetries</v>
      </c>
      <c r="C2856" s="1" t="s">
        <v>10</v>
      </c>
      <c r="D2856" s="1">
        <v>2570</v>
      </c>
      <c r="E2856" s="1">
        <v>2400</v>
      </c>
      <c r="F2856" s="1">
        <v>2060</v>
      </c>
      <c r="G2856" s="1">
        <v>318760</v>
      </c>
    </row>
    <row r="2857" spans="1:7" x14ac:dyDescent="0.25">
      <c r="A2857" s="1" t="s">
        <v>3073</v>
      </c>
      <c r="B2857" s="2" t="str">
        <f>HYPERLINK("https://www.elsevier.com/locate/issn/0736-4679", "The Journal of Emergency Medicine")</f>
        <v>The Journal of Emergency Medicine</v>
      </c>
      <c r="C2857" s="1" t="s">
        <v>10</v>
      </c>
      <c r="D2857" s="1">
        <v>3390</v>
      </c>
      <c r="E2857" s="1">
        <v>3170</v>
      </c>
      <c r="F2857" s="1">
        <v>2710</v>
      </c>
      <c r="G2857" s="1">
        <v>420460</v>
      </c>
    </row>
    <row r="2858" spans="1:7" x14ac:dyDescent="0.25">
      <c r="A2858" s="1" t="s">
        <v>3074</v>
      </c>
      <c r="B2858" s="2" t="str">
        <f>HYPERLINK("https://www.elsevier.com/locate/issn/2405-9188", "The Journal of Finance and Data Science")</f>
        <v>The Journal of Finance and Data Science</v>
      </c>
      <c r="C2858" s="1" t="s">
        <v>34</v>
      </c>
      <c r="D2858" s="1">
        <v>550</v>
      </c>
      <c r="E2858" s="1">
        <v>510</v>
      </c>
      <c r="F2858" s="1">
        <v>440</v>
      </c>
      <c r="G2858" s="1">
        <v>68220</v>
      </c>
    </row>
    <row r="2859" spans="1:7" x14ac:dyDescent="0.25">
      <c r="A2859" s="1" t="s">
        <v>3075</v>
      </c>
      <c r="B2859" s="2" t="str">
        <f>HYPERLINK("https://www.elsevier.com/locate/issn/1067-2516", "The Journal of Foot and Ankle Surgery")</f>
        <v>The Journal of Foot and Ankle Surgery</v>
      </c>
      <c r="C2859" s="1" t="s">
        <v>10</v>
      </c>
      <c r="D2859" s="1">
        <v>3900</v>
      </c>
      <c r="E2859" s="1">
        <v>3650</v>
      </c>
      <c r="F2859" s="1">
        <v>3120</v>
      </c>
      <c r="G2859" s="1">
        <v>483720</v>
      </c>
    </row>
    <row r="2860" spans="1:7" x14ac:dyDescent="0.25">
      <c r="A2860" s="1" t="s">
        <v>3076</v>
      </c>
      <c r="B2860" s="2" t="str">
        <f>HYPERLINK("https://www.elsevier.com/locate/issn/2260-1341", "The Journal of Frailty &amp; Aging")</f>
        <v>The Journal of Frailty &amp; Aging</v>
      </c>
      <c r="C2860" s="1" t="s">
        <v>23</v>
      </c>
      <c r="D2860" s="1">
        <v>2850</v>
      </c>
      <c r="E2860" s="1">
        <v>2670</v>
      </c>
      <c r="F2860" s="1">
        <v>2280</v>
      </c>
      <c r="G2860" s="1">
        <v>353490</v>
      </c>
    </row>
    <row r="2861" spans="1:7" x14ac:dyDescent="0.25">
      <c r="A2861" s="1" t="s">
        <v>3077</v>
      </c>
      <c r="B2861" s="2" t="str">
        <f>HYPERLINK("https://www.elsevier.com/locate/issn/0363-5023", "The Journal of Hand Surgery")</f>
        <v>The Journal of Hand Surgery</v>
      </c>
      <c r="C2861" s="1" t="s">
        <v>10</v>
      </c>
      <c r="D2861" s="1">
        <v>3450</v>
      </c>
      <c r="E2861" s="1">
        <v>3230</v>
      </c>
      <c r="F2861" s="1">
        <v>2760</v>
      </c>
      <c r="G2861" s="1">
        <v>427900</v>
      </c>
    </row>
    <row r="2862" spans="1:7" x14ac:dyDescent="0.25">
      <c r="A2862" s="1" t="s">
        <v>3078</v>
      </c>
      <c r="B2862" s="2" t="str">
        <f>HYPERLINK("https://www.elsevier.com/locate/issn/1053-2498", "The Journal of Heart and Lung Transplantation")</f>
        <v>The Journal of Heart and Lung Transplantation</v>
      </c>
      <c r="C2862" s="1" t="s">
        <v>10</v>
      </c>
      <c r="D2862" s="1">
        <v>3720</v>
      </c>
      <c r="E2862" s="1">
        <v>3480</v>
      </c>
      <c r="F2862" s="1">
        <v>2980</v>
      </c>
      <c r="G2862" s="1">
        <v>461390</v>
      </c>
    </row>
    <row r="2863" spans="1:7" x14ac:dyDescent="0.25">
      <c r="A2863" s="1" t="s">
        <v>3079</v>
      </c>
      <c r="B2863" s="2" t="str">
        <f>HYPERLINK("https://www.elsevier.com/locate/issn/3050-7901", "Journal of Strategy &amp; Innovation")</f>
        <v>Journal of Strategy &amp; Innovation</v>
      </c>
      <c r="C2863" s="1" t="s">
        <v>10</v>
      </c>
      <c r="D2863" s="1">
        <v>2830</v>
      </c>
      <c r="E2863" s="1">
        <v>2650</v>
      </c>
      <c r="F2863" s="1">
        <v>2270</v>
      </c>
      <c r="G2863" s="1">
        <v>351000</v>
      </c>
    </row>
    <row r="2864" spans="1:7" x14ac:dyDescent="0.25">
      <c r="A2864" s="1" t="s">
        <v>3080</v>
      </c>
      <c r="B2864" s="2" t="str">
        <f>HYPERLINK("https://www.elsevier.com/locate/issn/2950-1954", "The Journal of Liquid Biopsy")</f>
        <v>The Journal of Liquid Biopsy</v>
      </c>
      <c r="C2864" s="1" t="s">
        <v>23</v>
      </c>
      <c r="D2864" s="1">
        <v>2080</v>
      </c>
      <c r="E2864" s="1">
        <v>1900</v>
      </c>
      <c r="F2864" s="1">
        <v>1670</v>
      </c>
      <c r="G2864" s="1">
        <v>257980</v>
      </c>
    </row>
    <row r="2865" spans="1:7" x14ac:dyDescent="0.25">
      <c r="A2865" s="1" t="s">
        <v>3081</v>
      </c>
      <c r="B2865" s="2" t="str">
        <f>HYPERLINK("https://www.elsevier.com/locate/issn/0732-3123", "The Journal of Mathematical Behavior")</f>
        <v>The Journal of Mathematical Behavior</v>
      </c>
      <c r="C2865" s="1" t="s">
        <v>10</v>
      </c>
      <c r="D2865" s="1">
        <v>3170</v>
      </c>
      <c r="E2865" s="1">
        <v>2970</v>
      </c>
      <c r="F2865" s="1">
        <v>2540</v>
      </c>
      <c r="G2865" s="1">
        <v>393180</v>
      </c>
    </row>
    <row r="2866" spans="1:7" x14ac:dyDescent="0.25">
      <c r="A2866" s="1" t="s">
        <v>3082</v>
      </c>
      <c r="B2866" s="2" t="str">
        <f>HYPERLINK("https://www.elsevier.com/locate/issn/1525-1578", "The Journal of Molecular Diagnostics")</f>
        <v>The Journal of Molecular Diagnostics</v>
      </c>
      <c r="C2866" s="1" t="s">
        <v>10</v>
      </c>
      <c r="D2866" s="1">
        <v>3000</v>
      </c>
      <c r="E2866" s="1">
        <v>2810</v>
      </c>
      <c r="F2866" s="1">
        <v>2400</v>
      </c>
      <c r="G2866" s="1">
        <v>372090</v>
      </c>
    </row>
    <row r="2867" spans="1:7" x14ac:dyDescent="0.25">
      <c r="A2867" s="1" t="s">
        <v>3083</v>
      </c>
      <c r="B2867" s="2" t="str">
        <f>HYPERLINK("https://www.elsevier.com/locate/issn/0022-3166", "The Journal of Nutrition")</f>
        <v>The Journal of Nutrition</v>
      </c>
      <c r="C2867" s="1" t="s">
        <v>10</v>
      </c>
      <c r="D2867" s="1">
        <v>5200</v>
      </c>
      <c r="E2867" s="1">
        <v>4860</v>
      </c>
      <c r="F2867" s="1">
        <v>4160</v>
      </c>
      <c r="G2867" s="1">
        <v>644960</v>
      </c>
    </row>
    <row r="2868" spans="1:7" x14ac:dyDescent="0.25">
      <c r="A2868" s="1" t="s">
        <v>3084</v>
      </c>
      <c r="B2868" s="2" t="str">
        <f>HYPERLINK("https://www.elsevier.com/locate/issn/0955-2863", "The Journal of Nutritional Biochemistry")</f>
        <v>The Journal of Nutritional Biochemistry</v>
      </c>
      <c r="C2868" s="1" t="s">
        <v>10</v>
      </c>
      <c r="D2868" s="1">
        <v>3980</v>
      </c>
      <c r="E2868" s="1">
        <v>3720</v>
      </c>
      <c r="F2868" s="1">
        <v>3190</v>
      </c>
      <c r="G2868" s="1">
        <v>493640</v>
      </c>
    </row>
    <row r="2869" spans="1:7" x14ac:dyDescent="0.25">
      <c r="A2869" s="1" t="s">
        <v>3085</v>
      </c>
      <c r="B2869" s="2" t="str">
        <f>HYPERLINK("https://www.elsevier.com/locate/issn/3050-6247", "Journal of Nutritional Physiology")</f>
        <v>Journal of Nutritional Physiology</v>
      </c>
      <c r="C2869" s="1" t="s">
        <v>23</v>
      </c>
      <c r="D2869" s="1">
        <v>2520</v>
      </c>
      <c r="E2869" s="1">
        <v>2360</v>
      </c>
      <c r="F2869" s="1">
        <v>2016</v>
      </c>
      <c r="G2869" s="1">
        <v>312560</v>
      </c>
    </row>
    <row r="2870" spans="1:7" x14ac:dyDescent="0.25">
      <c r="A2870" s="1" t="s">
        <v>3086</v>
      </c>
      <c r="B2870" s="2" t="str">
        <f>HYPERLINK("https://www.elsevier.com/locate/issn/1526-5900", "The Journal of Pain")</f>
        <v>The Journal of Pain</v>
      </c>
      <c r="C2870" s="1" t="s">
        <v>10</v>
      </c>
      <c r="D2870" s="1">
        <v>4180</v>
      </c>
      <c r="E2870" s="1">
        <v>3910</v>
      </c>
      <c r="F2870" s="1">
        <v>3350</v>
      </c>
      <c r="G2870" s="1">
        <v>518450</v>
      </c>
    </row>
    <row r="2871" spans="1:7" x14ac:dyDescent="0.25">
      <c r="A2871" s="1" t="s">
        <v>3087</v>
      </c>
      <c r="B2871" s="2" t="str">
        <f>HYPERLINK("https://www.elsevier.com/locate/issn/0022-3476", "The Journal of Pediatrics")</f>
        <v>The Journal of Pediatrics</v>
      </c>
      <c r="C2871" s="1" t="s">
        <v>10</v>
      </c>
      <c r="D2871" s="1">
        <v>4570</v>
      </c>
      <c r="E2871" s="1">
        <v>4280</v>
      </c>
      <c r="F2871" s="1">
        <v>3660</v>
      </c>
      <c r="G2871" s="1">
        <v>566820</v>
      </c>
    </row>
    <row r="2872" spans="1:7" x14ac:dyDescent="0.25">
      <c r="A2872" s="1" t="s">
        <v>3088</v>
      </c>
      <c r="B2872" s="2" t="str">
        <f>HYPERLINK("https://www.elsevier.com/locate/issn/2950-5410", "The Journal of Pediatrics: Clinical Practice")</f>
        <v>The Journal of Pediatrics: Clinical Practice</v>
      </c>
      <c r="C2872" s="1" t="s">
        <v>23</v>
      </c>
      <c r="D2872" s="1">
        <v>2050</v>
      </c>
      <c r="E2872" s="1">
        <v>1920</v>
      </c>
      <c r="F2872" s="1">
        <v>1640</v>
      </c>
      <c r="G2872" s="1">
        <v>254260</v>
      </c>
    </row>
    <row r="2873" spans="1:7" x14ac:dyDescent="0.25">
      <c r="A2873" s="1" t="s">
        <v>3089</v>
      </c>
      <c r="B2873" s="2" t="str">
        <f>HYPERLINK("https://www.elsevier.com/locate/issn/0022-3565", "The Journal of Pharmacology and Experimental Therapeutics")</f>
        <v>The Journal of Pharmacology and Experimental Therapeutics</v>
      </c>
      <c r="C2873" s="1" t="s">
        <v>10</v>
      </c>
      <c r="D2873" s="1">
        <v>3750</v>
      </c>
      <c r="E2873" s="1">
        <v>3510</v>
      </c>
      <c r="F2873" s="1">
        <v>3000</v>
      </c>
      <c r="G2873" s="1">
        <v>465110</v>
      </c>
    </row>
    <row r="2874" spans="1:7" x14ac:dyDescent="0.25">
      <c r="A2874" s="1" t="s">
        <v>3090</v>
      </c>
      <c r="B2874" s="2" t="str">
        <f>HYPERLINK("https://www.elsevier.com/locate/issn/1880-6546", "The Journal of Physiological Sciences")</f>
        <v>The Journal of Physiological Sciences</v>
      </c>
      <c r="C2874" s="1" t="s">
        <v>23</v>
      </c>
      <c r="D2874" s="1">
        <v>2900</v>
      </c>
      <c r="E2874" s="1">
        <v>2710</v>
      </c>
      <c r="F2874" s="1">
        <v>2320</v>
      </c>
      <c r="G2874" s="1">
        <v>359690</v>
      </c>
    </row>
    <row r="2875" spans="1:7" x14ac:dyDescent="0.25">
      <c r="A2875" s="1" t="s">
        <v>3091</v>
      </c>
      <c r="B2875" s="2" t="str">
        <f>HYPERLINK("https://www.elsevier.com/locate/issn/3050-6328", "Journal of Precision Medicine: Health and Disease")</f>
        <v>Journal of Precision Medicine: Health and Disease</v>
      </c>
      <c r="C2875" s="1" t="s">
        <v>23</v>
      </c>
      <c r="D2875" s="1">
        <v>3220</v>
      </c>
      <c r="E2875" s="1">
        <v>3010</v>
      </c>
      <c r="F2875" s="1">
        <v>2581</v>
      </c>
      <c r="G2875" s="1">
        <v>399380</v>
      </c>
    </row>
    <row r="2876" spans="1:7" x14ac:dyDescent="0.25">
      <c r="A2876" s="1" t="s">
        <v>3092</v>
      </c>
      <c r="B2876" s="2" t="str">
        <f>HYPERLINK("https://www.elsevier.com/locate/issn/2274-5807", "The Journal of Prevention of Alzheimer's Disease")</f>
        <v>The Journal of Prevention of Alzheimer's Disease</v>
      </c>
      <c r="C2876" s="1" t="s">
        <v>23</v>
      </c>
      <c r="D2876" s="1">
        <v>4060</v>
      </c>
      <c r="E2876" s="1">
        <v>3800</v>
      </c>
      <c r="F2876" s="1">
        <v>3250</v>
      </c>
      <c r="G2876" s="1">
        <v>503560</v>
      </c>
    </row>
    <row r="2877" spans="1:7" x14ac:dyDescent="0.25">
      <c r="A2877" s="1" t="s">
        <v>3093</v>
      </c>
      <c r="B2877" s="2" t="str">
        <f>HYPERLINK("https://www.elsevier.com/locate/issn/1743-6095", "The Journal of Sexual Medicine")</f>
        <v>The Journal of Sexual Medicine</v>
      </c>
      <c r="C2877" s="1" t="s">
        <v>10</v>
      </c>
      <c r="D2877" s="1">
        <v>3250</v>
      </c>
      <c r="E2877" s="1">
        <v>3040</v>
      </c>
      <c r="F2877" s="1">
        <v>2600</v>
      </c>
      <c r="G2877" s="1">
        <v>403100</v>
      </c>
    </row>
    <row r="2878" spans="1:7" x14ac:dyDescent="0.25">
      <c r="A2878" s="1" t="s">
        <v>3094</v>
      </c>
      <c r="B2878" s="2" t="str">
        <f>HYPERLINK("https://www.elsevier.com/locate/issn/0960-0760", "The Journal of Steroid Biochemistry and Molecular Biology")</f>
        <v>The Journal of Steroid Biochemistry and Molecular Biology</v>
      </c>
      <c r="C2878" s="1" t="s">
        <v>10</v>
      </c>
      <c r="D2878" s="1">
        <v>3980</v>
      </c>
      <c r="E2878" s="1">
        <v>3720</v>
      </c>
      <c r="F2878" s="1">
        <v>3190</v>
      </c>
      <c r="G2878" s="1">
        <v>493640</v>
      </c>
    </row>
    <row r="2879" spans="1:7" x14ac:dyDescent="0.25">
      <c r="A2879" s="1" t="s">
        <v>3095</v>
      </c>
      <c r="B2879" s="2" t="str">
        <f>HYPERLINK("https://www.elsevier.com/locate/issn/0963-8687", "The Journal of Strategic Information Systems")</f>
        <v>The Journal of Strategic Information Systems</v>
      </c>
      <c r="C2879" s="1" t="s">
        <v>10</v>
      </c>
      <c r="D2879" s="1">
        <v>4160</v>
      </c>
      <c r="E2879" s="1">
        <v>3890</v>
      </c>
      <c r="F2879" s="1">
        <v>3330</v>
      </c>
      <c r="G2879" s="1">
        <v>515960</v>
      </c>
    </row>
    <row r="2880" spans="1:7" x14ac:dyDescent="0.25">
      <c r="A2880" s="1" t="s">
        <v>3096</v>
      </c>
      <c r="B2880" s="2" t="str">
        <f>HYPERLINK("https://www.elsevier.com/locate/issn/0896-8446", "The Journal of Supercritical Fluids")</f>
        <v>The Journal of Supercritical Fluids</v>
      </c>
      <c r="C2880" s="1" t="s">
        <v>10</v>
      </c>
      <c r="D2880" s="1">
        <v>3910</v>
      </c>
      <c r="E2880" s="1">
        <v>3660</v>
      </c>
      <c r="F2880" s="1">
        <v>3130</v>
      </c>
      <c r="G2880" s="1">
        <v>484960</v>
      </c>
    </row>
    <row r="2881" spans="1:7" x14ac:dyDescent="0.25">
      <c r="A2881" s="1" t="s">
        <v>3097</v>
      </c>
      <c r="B2881" s="2" t="str">
        <f>HYPERLINK("https://www.elsevier.com/locate/issn/0002-8177", "The Journal of the American Dental Association")</f>
        <v>The Journal of the American Dental Association</v>
      </c>
      <c r="C2881" s="1" t="s">
        <v>10</v>
      </c>
      <c r="D2881" s="1">
        <v>3850</v>
      </c>
      <c r="E2881" s="1">
        <v>3600</v>
      </c>
      <c r="F2881" s="1">
        <v>3080</v>
      </c>
      <c r="G2881" s="1">
        <v>477520</v>
      </c>
    </row>
    <row r="2882" spans="1:7" x14ac:dyDescent="0.25">
      <c r="A2882" s="1" t="s">
        <v>3098</v>
      </c>
      <c r="B2882" s="2" t="str">
        <f>HYPERLINK("https://www.elsevier.com/locate/issn/2212-828X", "The Journal of the Economics of Ageing")</f>
        <v>The Journal of the Economics of Ageing</v>
      </c>
      <c r="C2882" s="1" t="s">
        <v>10</v>
      </c>
      <c r="D2882" s="1">
        <v>3380</v>
      </c>
      <c r="E2882" s="1">
        <v>3160</v>
      </c>
      <c r="F2882" s="1">
        <v>2710</v>
      </c>
      <c r="G2882" s="1">
        <v>419220</v>
      </c>
    </row>
    <row r="2883" spans="1:7" x14ac:dyDescent="0.25">
      <c r="A2883" s="1" t="s">
        <v>3099</v>
      </c>
      <c r="B2883" s="2" t="str">
        <f>HYPERLINK("https://www.elsevier.com/locate/issn/0022-5223", "The Journal of Thoracic and Cardiovascular Surgery")</f>
        <v>The Journal of Thoracic and Cardiovascular Surgery</v>
      </c>
      <c r="C2883" s="1" t="s">
        <v>10</v>
      </c>
      <c r="D2883" s="1">
        <v>4500</v>
      </c>
      <c r="E2883" s="1">
        <v>4210</v>
      </c>
      <c r="F2883" s="1">
        <v>3600</v>
      </c>
      <c r="G2883" s="1">
        <v>558140</v>
      </c>
    </row>
    <row r="2884" spans="1:7" x14ac:dyDescent="0.25">
      <c r="A2884" s="1" t="s">
        <v>3100</v>
      </c>
      <c r="B2884" s="2" t="str">
        <f>HYPERLINK("https://www.elsevier.com/locate/issn/0968-0160", "The Knee")</f>
        <v>The Knee</v>
      </c>
      <c r="C2884" s="1" t="s">
        <v>10</v>
      </c>
      <c r="D2884" s="1">
        <v>2820</v>
      </c>
      <c r="E2884" s="1">
        <v>2640</v>
      </c>
      <c r="F2884" s="1">
        <v>2260</v>
      </c>
      <c r="G2884" s="1">
        <v>349760</v>
      </c>
    </row>
    <row r="2885" spans="1:7" x14ac:dyDescent="0.25">
      <c r="A2885" s="1" t="s">
        <v>3101</v>
      </c>
      <c r="B2885" s="2" t="str">
        <f>HYPERLINK("https://www.elsevier.com/locate/issn/0140-6736", "The Lancet")</f>
        <v>The Lancet</v>
      </c>
      <c r="C2885" s="1" t="s">
        <v>10</v>
      </c>
      <c r="D2885" s="1">
        <v>8680</v>
      </c>
      <c r="E2885" s="1">
        <v>8120</v>
      </c>
      <c r="F2885" s="1">
        <v>6950</v>
      </c>
      <c r="G2885" s="1">
        <v>1076580</v>
      </c>
    </row>
    <row r="2886" spans="1:7" x14ac:dyDescent="0.25">
      <c r="A2886" s="1" t="s">
        <v>3102</v>
      </c>
      <c r="B2886" s="2" t="str">
        <f>HYPERLINK("https://www.elsevier.com/locate/issn/2352-4642", "The Lancet Child &amp; Adolescent Health")</f>
        <v>The Lancet Child &amp; Adolescent Health</v>
      </c>
      <c r="C2886" s="1" t="s">
        <v>10</v>
      </c>
      <c r="D2886" s="1">
        <v>7350</v>
      </c>
      <c r="E2886" s="1">
        <v>6880</v>
      </c>
      <c r="F2886" s="1">
        <v>5880</v>
      </c>
      <c r="G2886" s="1">
        <v>911620</v>
      </c>
    </row>
    <row r="2887" spans="1:7" x14ac:dyDescent="0.25">
      <c r="A2887" s="1" t="s">
        <v>3103</v>
      </c>
      <c r="B2887" s="2" t="str">
        <f>HYPERLINK("https://www.elsevier.com/locate/issn/2213-8587", "The Lancet Diabetes &amp; Endocrinology")</f>
        <v>The Lancet Diabetes &amp; Endocrinology</v>
      </c>
      <c r="C2887" s="1" t="s">
        <v>10</v>
      </c>
      <c r="D2887" s="1">
        <v>8010</v>
      </c>
      <c r="E2887" s="1">
        <v>7490</v>
      </c>
      <c r="F2887" s="1">
        <v>6410</v>
      </c>
      <c r="G2887" s="1">
        <v>993480</v>
      </c>
    </row>
    <row r="2888" spans="1:7" x14ac:dyDescent="0.25">
      <c r="A2888" s="1" t="s">
        <v>3104</v>
      </c>
      <c r="B2888" s="2" t="str">
        <f>HYPERLINK("https://www.elsevier.com/locate/issn/2589-7500", "The Lancet Digital Health")</f>
        <v>The Lancet Digital Health</v>
      </c>
      <c r="C2888" s="1" t="s">
        <v>23</v>
      </c>
      <c r="D2888" s="1">
        <v>7350</v>
      </c>
      <c r="E2888" s="1">
        <v>6880</v>
      </c>
      <c r="F2888" s="1">
        <v>5880</v>
      </c>
      <c r="G2888" s="1">
        <v>911620</v>
      </c>
    </row>
    <row r="2889" spans="1:7" x14ac:dyDescent="0.25">
      <c r="A2889" s="1" t="s">
        <v>3105</v>
      </c>
      <c r="B2889" s="2" t="str">
        <f>HYPERLINK("https://www.elsevier.com/locate/issn/2468-1253", "The Lancet Gastroenterology &amp; Hepatology")</f>
        <v>The Lancet Gastroenterology &amp; Hepatology</v>
      </c>
      <c r="C2889" s="1" t="s">
        <v>10</v>
      </c>
      <c r="D2889" s="1">
        <v>8010</v>
      </c>
      <c r="E2889" s="1">
        <v>7490</v>
      </c>
      <c r="F2889" s="1">
        <v>6410</v>
      </c>
      <c r="G2889" s="1">
        <v>993480</v>
      </c>
    </row>
    <row r="2890" spans="1:7" x14ac:dyDescent="0.25">
      <c r="A2890" s="1" t="s">
        <v>3106</v>
      </c>
      <c r="B2890" s="2" t="str">
        <f>HYPERLINK("https://www.elsevier.com/locate/issn/2214-109X", "The Lancet Global Health")</f>
        <v>The Lancet Global Health</v>
      </c>
      <c r="C2890" s="1" t="s">
        <v>23</v>
      </c>
      <c r="D2890" s="1">
        <v>7350</v>
      </c>
      <c r="E2890" s="1">
        <v>6880</v>
      </c>
      <c r="F2890" s="1">
        <v>5880</v>
      </c>
      <c r="G2890" s="1">
        <v>911620</v>
      </c>
    </row>
    <row r="2891" spans="1:7" x14ac:dyDescent="0.25">
      <c r="A2891" s="1" t="s">
        <v>3107</v>
      </c>
      <c r="B2891" s="2" t="str">
        <f>HYPERLINK("https://www.elsevier.com/locate/issn/2352-3026", "The Lancet Haematology")</f>
        <v>The Lancet Haematology</v>
      </c>
      <c r="C2891" s="1" t="s">
        <v>10</v>
      </c>
      <c r="D2891" s="1">
        <v>8010</v>
      </c>
      <c r="E2891" s="1">
        <v>7490</v>
      </c>
      <c r="F2891" s="1">
        <v>6410</v>
      </c>
      <c r="G2891" s="1">
        <v>993480</v>
      </c>
    </row>
    <row r="2892" spans="1:7" x14ac:dyDescent="0.25">
      <c r="A2892" s="1" t="s">
        <v>3108</v>
      </c>
      <c r="B2892" s="2" t="str">
        <f>HYPERLINK("https://www.elsevier.com/locate/issn/2666-7568", "The Lancet Healthy Longevity")</f>
        <v>The Lancet Healthy Longevity</v>
      </c>
      <c r="C2892" s="1" t="s">
        <v>23</v>
      </c>
      <c r="D2892" s="1">
        <v>7350</v>
      </c>
      <c r="E2892" s="1">
        <v>6880</v>
      </c>
      <c r="F2892" s="1">
        <v>5880</v>
      </c>
      <c r="G2892" s="1">
        <v>911620</v>
      </c>
    </row>
    <row r="2893" spans="1:7" x14ac:dyDescent="0.25">
      <c r="A2893" s="1" t="s">
        <v>3109</v>
      </c>
      <c r="B2893" s="2" t="str">
        <f>HYPERLINK("https://www.elsevier.com/locate/issn/2352-3018", "The Lancet HIV")</f>
        <v>The Lancet HIV</v>
      </c>
      <c r="C2893" s="1" t="s">
        <v>10</v>
      </c>
      <c r="D2893" s="1">
        <v>8010</v>
      </c>
      <c r="E2893" s="1">
        <v>7490</v>
      </c>
      <c r="F2893" s="1">
        <v>6410</v>
      </c>
      <c r="G2893" s="1">
        <v>993480</v>
      </c>
    </row>
    <row r="2894" spans="1:7" x14ac:dyDescent="0.25">
      <c r="A2894" s="1" t="s">
        <v>3110</v>
      </c>
      <c r="B2894" s="2" t="str">
        <f>HYPERLINK("https://www.elsevier.com/locate/issn/1473-3099", "The Lancet Infectious Diseases")</f>
        <v>The Lancet Infectious Diseases</v>
      </c>
      <c r="C2894" s="1" t="s">
        <v>10</v>
      </c>
      <c r="D2894" s="1">
        <v>8010</v>
      </c>
      <c r="E2894" s="1">
        <v>7490</v>
      </c>
      <c r="F2894" s="1">
        <v>6410</v>
      </c>
      <c r="G2894" s="1">
        <v>993480</v>
      </c>
    </row>
    <row r="2895" spans="1:7" x14ac:dyDescent="0.25">
      <c r="A2895" s="1" t="s">
        <v>3111</v>
      </c>
      <c r="B2895" s="2" t="str">
        <f>HYPERLINK("https://www.elsevier.com/locate/issn/2666-5247", "The Lancet Microbe")</f>
        <v>The Lancet Microbe</v>
      </c>
      <c r="C2895" s="1" t="s">
        <v>23</v>
      </c>
      <c r="D2895" s="1">
        <v>8010</v>
      </c>
      <c r="E2895" s="1">
        <v>7490</v>
      </c>
      <c r="F2895" s="1">
        <v>6410</v>
      </c>
      <c r="G2895" s="1">
        <v>993480</v>
      </c>
    </row>
    <row r="2896" spans="1:7" x14ac:dyDescent="0.25">
      <c r="A2896" s="1" t="s">
        <v>3112</v>
      </c>
      <c r="B2896" s="2" t="str">
        <f>HYPERLINK("https://www.elsevier.com/locate/issn/1474-4422", "The Lancet Neurology")</f>
        <v>The Lancet Neurology</v>
      </c>
      <c r="C2896" s="1" t="s">
        <v>10</v>
      </c>
      <c r="D2896" s="1">
        <v>8010</v>
      </c>
      <c r="E2896" s="1">
        <v>7490</v>
      </c>
      <c r="F2896" s="1">
        <v>6410</v>
      </c>
      <c r="G2896" s="1">
        <v>993480</v>
      </c>
    </row>
    <row r="2897" spans="1:7" x14ac:dyDescent="0.25">
      <c r="A2897" s="1" t="s">
        <v>3113</v>
      </c>
      <c r="B2897" s="2" t="str">
        <f>HYPERLINK("https://www.elsevier.com/locate/issn/1470-2045", "The Lancet Oncology")</f>
        <v>The Lancet Oncology</v>
      </c>
      <c r="C2897" s="1" t="s">
        <v>10</v>
      </c>
      <c r="D2897" s="1">
        <v>8010</v>
      </c>
      <c r="E2897" s="1">
        <v>7490</v>
      </c>
      <c r="F2897" s="1">
        <v>6410</v>
      </c>
      <c r="G2897" s="1">
        <v>993480</v>
      </c>
    </row>
    <row r="2898" spans="1:7" x14ac:dyDescent="0.25">
      <c r="A2898" s="1" t="s">
        <v>3114</v>
      </c>
      <c r="B2898" s="2" t="str">
        <f>HYPERLINK("https://www.elsevier.com/locate/issn/2542-5196", "The Lancet Planetary Health")</f>
        <v>The Lancet Planetary Health</v>
      </c>
      <c r="C2898" s="1" t="s">
        <v>23</v>
      </c>
      <c r="D2898" s="1">
        <v>7350</v>
      </c>
      <c r="E2898" s="1">
        <v>6880</v>
      </c>
      <c r="F2898" s="1">
        <v>5880</v>
      </c>
      <c r="G2898" s="1">
        <v>911620</v>
      </c>
    </row>
    <row r="2899" spans="1:7" x14ac:dyDescent="0.25">
      <c r="A2899" s="1" t="s">
        <v>3115</v>
      </c>
      <c r="B2899" s="2" t="str">
        <f>HYPERLINK("https://www.elsevier.com/locate/issn/3050-5143", "The Lancet Primary Care")</f>
        <v>The Lancet Primary Care</v>
      </c>
      <c r="C2899" s="1" t="s">
        <v>23</v>
      </c>
      <c r="D2899" s="1">
        <v>6680</v>
      </c>
      <c r="E2899" s="1">
        <v>6250</v>
      </c>
      <c r="F2899" s="1">
        <v>5350</v>
      </c>
      <c r="G2899" s="1">
        <v>828520</v>
      </c>
    </row>
    <row r="2900" spans="1:7" x14ac:dyDescent="0.25">
      <c r="A2900" s="1" t="s">
        <v>3116</v>
      </c>
      <c r="B2900" s="2" t="str">
        <f>HYPERLINK("https://www.elsevier.com/locate/issn/2215-0366", "The Lancet Psychiatry")</f>
        <v>The Lancet Psychiatry</v>
      </c>
      <c r="C2900" s="1" t="s">
        <v>10</v>
      </c>
      <c r="D2900" s="1">
        <v>8010</v>
      </c>
      <c r="E2900" s="1">
        <v>7490</v>
      </c>
      <c r="F2900" s="1">
        <v>6410</v>
      </c>
      <c r="G2900" s="1">
        <v>993480</v>
      </c>
    </row>
    <row r="2901" spans="1:7" x14ac:dyDescent="0.25">
      <c r="A2901" s="1" t="s">
        <v>3117</v>
      </c>
      <c r="B2901" s="2" t="str">
        <f>HYPERLINK("https://www.elsevier.com/locate/issn/2468-2667", "The Lancet Public Health")</f>
        <v>The Lancet Public Health</v>
      </c>
      <c r="C2901" s="1" t="s">
        <v>23</v>
      </c>
      <c r="D2901" s="1">
        <v>7350</v>
      </c>
      <c r="E2901" s="1">
        <v>6880</v>
      </c>
      <c r="F2901" s="1">
        <v>5880</v>
      </c>
      <c r="G2901" s="1">
        <v>911620</v>
      </c>
    </row>
    <row r="2902" spans="1:7" x14ac:dyDescent="0.25">
      <c r="A2902" s="1" t="s">
        <v>3118</v>
      </c>
      <c r="B2902" s="2" t="str">
        <f>HYPERLINK("https://www.elsevier.com/locate/issn/2667-193X", "The Lancet Regional Health - Americas")</f>
        <v>The Lancet Regional Health - Americas</v>
      </c>
      <c r="C2902" s="1" t="s">
        <v>23</v>
      </c>
      <c r="D2902" s="1">
        <v>5420</v>
      </c>
      <c r="E2902" s="1">
        <v>5070</v>
      </c>
      <c r="F2902" s="1">
        <v>4340</v>
      </c>
      <c r="G2902" s="1">
        <v>672240</v>
      </c>
    </row>
    <row r="2903" spans="1:7" x14ac:dyDescent="0.25">
      <c r="A2903" s="1" t="s">
        <v>3119</v>
      </c>
      <c r="B2903" s="2" t="str">
        <f>HYPERLINK("https://www.elsevier.com/locate/issn/2666-7762", "The Lancet Regional Health - Europe")</f>
        <v>The Lancet Regional Health - Europe</v>
      </c>
      <c r="C2903" s="1" t="s">
        <v>23</v>
      </c>
      <c r="D2903" s="1">
        <v>5420</v>
      </c>
      <c r="E2903" s="1">
        <v>5070</v>
      </c>
      <c r="F2903" s="1">
        <v>4340</v>
      </c>
      <c r="G2903" s="1">
        <v>672240</v>
      </c>
    </row>
    <row r="2904" spans="1:7" x14ac:dyDescent="0.25">
      <c r="A2904" s="1" t="s">
        <v>3120</v>
      </c>
      <c r="B2904" s="2" t="str">
        <f>HYPERLINK("https://www.elsevier.com/locate/issn/2772-3682", "The Lancet Regional Health - Southeast Asia")</f>
        <v>The Lancet Regional Health - Southeast Asia</v>
      </c>
      <c r="C2904" s="1" t="s">
        <v>23</v>
      </c>
      <c r="D2904" s="1">
        <v>2480</v>
      </c>
      <c r="E2904" s="1">
        <v>2320</v>
      </c>
      <c r="F2904" s="1">
        <v>1990</v>
      </c>
      <c r="G2904" s="1">
        <v>307590</v>
      </c>
    </row>
    <row r="2905" spans="1:7" x14ac:dyDescent="0.25">
      <c r="A2905" s="1" t="s">
        <v>3121</v>
      </c>
      <c r="B2905" s="2" t="str">
        <f>HYPERLINK("https://www.elsevier.com/locate/issn/2666-6065", "The Lancet Regional Health - Western Pacific")</f>
        <v>The Lancet Regional Health - Western Pacific</v>
      </c>
      <c r="C2905" s="1" t="s">
        <v>23</v>
      </c>
      <c r="D2905" s="1">
        <v>4680</v>
      </c>
      <c r="E2905" s="1">
        <v>4380</v>
      </c>
      <c r="F2905" s="1">
        <v>3750</v>
      </c>
      <c r="G2905" s="1">
        <v>580460</v>
      </c>
    </row>
    <row r="2906" spans="1:7" x14ac:dyDescent="0.25">
      <c r="A2906" s="1" t="s">
        <v>3122</v>
      </c>
      <c r="B2906" s="2" t="str">
        <f>HYPERLINK("https://www.elsevier.com/locate/issn/2213-2600", "The Lancet Respiratory Medicine")</f>
        <v>The Lancet Respiratory Medicine</v>
      </c>
      <c r="C2906" s="1" t="s">
        <v>10</v>
      </c>
      <c r="D2906" s="1">
        <v>8010</v>
      </c>
      <c r="E2906" s="1">
        <v>7490</v>
      </c>
      <c r="F2906" s="1">
        <v>6410</v>
      </c>
      <c r="G2906" s="1">
        <v>993480</v>
      </c>
    </row>
    <row r="2907" spans="1:7" x14ac:dyDescent="0.25">
      <c r="A2907" s="1" t="s">
        <v>3123</v>
      </c>
      <c r="B2907" s="2" t="str">
        <f>HYPERLINK("https://www.elsevier.com/locate/issn/2665-9913", "The Lancet Rheumatology")</f>
        <v>The Lancet Rheumatology</v>
      </c>
      <c r="C2907" s="1" t="s">
        <v>10</v>
      </c>
      <c r="D2907" s="1">
        <v>8010</v>
      </c>
      <c r="E2907" s="1">
        <v>7490</v>
      </c>
      <c r="F2907" s="1">
        <v>6410</v>
      </c>
      <c r="G2907" s="1">
        <v>993480</v>
      </c>
    </row>
    <row r="2908" spans="1:7" x14ac:dyDescent="0.25">
      <c r="A2908" s="1" t="s">
        <v>3124</v>
      </c>
      <c r="B2908" s="2" t="str">
        <f>HYPERLINK("https://www.elsevier.com/locate/issn/1048-9843", "The Leadership Quarterly")</f>
        <v>The Leadership Quarterly</v>
      </c>
      <c r="C2908" s="1" t="s">
        <v>10</v>
      </c>
      <c r="D2908" s="1">
        <v>4330</v>
      </c>
      <c r="E2908" s="1">
        <v>4050</v>
      </c>
      <c r="F2908" s="1">
        <v>3470</v>
      </c>
      <c r="G2908" s="1">
        <v>537050</v>
      </c>
    </row>
    <row r="2909" spans="1:7" x14ac:dyDescent="0.25">
      <c r="A2909" s="1" t="s">
        <v>3125</v>
      </c>
      <c r="B2909" s="2" t="str">
        <f>HYPERLINK("https://www.elsevier.com/locate/issn/2950-1946", "The Microbe")</f>
        <v>The Microbe</v>
      </c>
      <c r="C2909" s="1" t="s">
        <v>23</v>
      </c>
      <c r="D2909" s="1">
        <v>2150</v>
      </c>
      <c r="E2909" s="1">
        <v>2010</v>
      </c>
      <c r="F2909" s="1">
        <v>1720</v>
      </c>
      <c r="G2909" s="1">
        <v>266660</v>
      </c>
    </row>
    <row r="2910" spans="1:7" x14ac:dyDescent="0.25">
      <c r="A2910" s="1" t="s">
        <v>3126</v>
      </c>
      <c r="B2910" s="2" t="str">
        <f>HYPERLINK("https://www.elsevier.com/locate/issn/1062-9408", "The North American Journal of Economics and Finance")</f>
        <v>The North American Journal of Economics and Finance</v>
      </c>
      <c r="C2910" s="1" t="s">
        <v>10</v>
      </c>
      <c r="D2910" s="1">
        <v>3050</v>
      </c>
      <c r="E2910" s="1">
        <v>2850</v>
      </c>
      <c r="F2910" s="1">
        <v>2440</v>
      </c>
      <c r="G2910" s="1">
        <v>378290</v>
      </c>
    </row>
    <row r="2911" spans="1:7" x14ac:dyDescent="0.25">
      <c r="A2911" s="1" t="s">
        <v>3127</v>
      </c>
      <c r="B2911" s="2" t="str">
        <f>HYPERLINK("https://www.elsevier.com/locate/issn/1542-0124", "The Ocular Surface")</f>
        <v>The Ocular Surface</v>
      </c>
      <c r="C2911" s="1" t="s">
        <v>10</v>
      </c>
      <c r="D2911" s="1">
        <v>5330</v>
      </c>
      <c r="E2911" s="1">
        <v>4990</v>
      </c>
      <c r="F2911" s="1">
        <v>4270</v>
      </c>
      <c r="G2911" s="1">
        <v>661080</v>
      </c>
    </row>
    <row r="2912" spans="1:7" x14ac:dyDescent="0.25">
      <c r="A2912" s="1" t="s">
        <v>3128</v>
      </c>
      <c r="B2912" s="2" t="str">
        <f>HYPERLINK("https://www.elsevier.com/locate/issn/1062-9769", "The Quarterly Review of Economics and Finance")</f>
        <v>The Quarterly Review of Economics and Finance</v>
      </c>
      <c r="C2912" s="1" t="s">
        <v>10</v>
      </c>
      <c r="D2912" s="1">
        <v>2880</v>
      </c>
      <c r="E2912" s="1">
        <v>2690</v>
      </c>
      <c r="F2912" s="1">
        <v>2310</v>
      </c>
      <c r="G2912" s="1">
        <v>357210</v>
      </c>
    </row>
    <row r="2913" spans="1:7" x14ac:dyDescent="0.25">
      <c r="A2913" s="1" t="s">
        <v>3129</v>
      </c>
      <c r="B2913" s="2" t="str">
        <f>HYPERLINK("https://www.elsevier.com/locate/issn/1013-9052", "The Saudi Dental Journal")</f>
        <v>The Saudi Dental Journal</v>
      </c>
      <c r="C2913" s="1" t="s">
        <v>23</v>
      </c>
      <c r="D2913" s="1">
        <v>1500</v>
      </c>
      <c r="E2913" s="1">
        <v>1400</v>
      </c>
      <c r="F2913" s="1">
        <v>1200</v>
      </c>
      <c r="G2913" s="1">
        <v>186050</v>
      </c>
    </row>
    <row r="2914" spans="1:7" x14ac:dyDescent="0.25">
      <c r="A2914" s="1" t="s">
        <v>3130</v>
      </c>
      <c r="B2914" s="2" t="str">
        <f>HYPERLINK("https://www.elsevier.com/locate/issn/1529-9430", "The Spine Journal")</f>
        <v>The Spine Journal</v>
      </c>
      <c r="C2914" s="1" t="s">
        <v>10</v>
      </c>
      <c r="D2914" s="1">
        <v>4980</v>
      </c>
      <c r="E2914" s="1">
        <v>4660</v>
      </c>
      <c r="F2914" s="1">
        <v>3990</v>
      </c>
      <c r="G2914" s="1">
        <v>617670</v>
      </c>
    </row>
    <row r="2915" spans="1:7" x14ac:dyDescent="0.25">
      <c r="A2915" s="1" t="s">
        <v>3131</v>
      </c>
      <c r="B2915" s="2" t="str">
        <f>HYPERLINK("https://www.elsevier.com/locate/issn/1479-666X", "The Surgeon")</f>
        <v>The Surgeon</v>
      </c>
      <c r="C2915" s="1" t="s">
        <v>10</v>
      </c>
      <c r="D2915" s="1">
        <v>3440</v>
      </c>
      <c r="E2915" s="1">
        <v>3220</v>
      </c>
      <c r="F2915" s="1">
        <v>2750</v>
      </c>
      <c r="G2915" s="1">
        <v>426660</v>
      </c>
    </row>
    <row r="2916" spans="1:7" x14ac:dyDescent="0.25">
      <c r="A2916" s="1" t="s">
        <v>3132</v>
      </c>
      <c r="B2916" s="2" t="str">
        <f>HYPERLINK("https://www.elsevier.com/locate/issn/1090-0233", "The Veterinary Journal")</f>
        <v>The Veterinary Journal</v>
      </c>
      <c r="C2916" s="1" t="s">
        <v>10</v>
      </c>
      <c r="D2916" s="1">
        <v>3310</v>
      </c>
      <c r="E2916" s="1">
        <v>3100</v>
      </c>
      <c r="F2916" s="1">
        <v>2650</v>
      </c>
      <c r="G2916" s="1">
        <v>410540</v>
      </c>
    </row>
    <row r="2917" spans="1:7" x14ac:dyDescent="0.25">
      <c r="A2917" s="1" t="s">
        <v>3133</v>
      </c>
      <c r="B2917" s="2" t="str">
        <f>HYPERLINK("https://www.elsevier.com/locate/issn/0167-8442", "Theoretical and Applied Fracture Mechanics")</f>
        <v>Theoretical and Applied Fracture Mechanics</v>
      </c>
      <c r="C2917" s="1" t="s">
        <v>10</v>
      </c>
      <c r="D2917" s="1">
        <v>3730</v>
      </c>
      <c r="E2917" s="1">
        <v>3490</v>
      </c>
      <c r="F2917" s="1">
        <v>2990</v>
      </c>
      <c r="G2917" s="1">
        <v>462630</v>
      </c>
    </row>
    <row r="2918" spans="1:7" x14ac:dyDescent="0.25">
      <c r="A2918" s="1" t="s">
        <v>3134</v>
      </c>
      <c r="B2918" s="2" t="str">
        <f>HYPERLINK("https://www.elsevier.com/locate/issn/2095-0349", "Theoretical and Applied Mechanics Letters")</f>
        <v>Theoretical and Applied Mechanics Letters</v>
      </c>
      <c r="C2918" s="1" t="s">
        <v>23</v>
      </c>
      <c r="D2918" s="1">
        <v>1200</v>
      </c>
      <c r="E2918" s="1">
        <v>1120</v>
      </c>
      <c r="F2918" s="1">
        <v>960</v>
      </c>
      <c r="G2918" s="1">
        <v>148840</v>
      </c>
    </row>
    <row r="2919" spans="1:7" x14ac:dyDescent="0.25">
      <c r="A2919" s="1" t="s">
        <v>3135</v>
      </c>
      <c r="B2919" s="2" t="str">
        <f>HYPERLINK("https://www.elsevier.com/locate/issn/0304-3975", "Theoretical Computer Science")</f>
        <v>Theoretical Computer Science</v>
      </c>
      <c r="C2919" s="1" t="s">
        <v>10</v>
      </c>
      <c r="D2919" s="1">
        <v>2880</v>
      </c>
      <c r="E2919" s="1">
        <v>2690</v>
      </c>
      <c r="F2919" s="1">
        <v>2310</v>
      </c>
      <c r="G2919" s="1">
        <v>357210</v>
      </c>
    </row>
    <row r="2920" spans="1:7" x14ac:dyDescent="0.25">
      <c r="A2920" s="1" t="s">
        <v>3136</v>
      </c>
      <c r="B2920" s="2" t="str">
        <f>HYPERLINK("https://www.elsevier.com/locate/issn/0040-5809", "Theoretical Population Biology")</f>
        <v>Theoretical Population Biology</v>
      </c>
      <c r="C2920" s="1" t="s">
        <v>10</v>
      </c>
      <c r="D2920" s="1">
        <v>2840</v>
      </c>
      <c r="E2920" s="1">
        <v>2660</v>
      </c>
      <c r="F2920" s="1">
        <v>2270</v>
      </c>
      <c r="G2920" s="1">
        <v>352250</v>
      </c>
    </row>
    <row r="2921" spans="1:7" x14ac:dyDescent="0.25">
      <c r="A2921" s="1" t="s">
        <v>3137</v>
      </c>
      <c r="B2921" s="2" t="str">
        <f>HYPERLINK("https://www.elsevier.com/locate/issn/0040-5957", "Thérapie")</f>
        <v>Thérapie</v>
      </c>
      <c r="C2921" s="1" t="s">
        <v>10</v>
      </c>
      <c r="D2921" s="1">
        <v>3450</v>
      </c>
      <c r="E2921" s="1">
        <v>3150</v>
      </c>
      <c r="F2921" s="1">
        <v>2760</v>
      </c>
      <c r="G2921" s="1">
        <v>427900</v>
      </c>
    </row>
    <row r="2922" spans="1:7" x14ac:dyDescent="0.25">
      <c r="A2922" s="1" t="s">
        <v>3138</v>
      </c>
      <c r="B2922" s="2" t="str">
        <f>HYPERLINK("https://www.elsevier.com/locate/issn/0093-691X", "Theriogenology")</f>
        <v>Theriogenology</v>
      </c>
      <c r="C2922" s="1" t="s">
        <v>10</v>
      </c>
      <c r="D2922" s="1">
        <v>4360</v>
      </c>
      <c r="E2922" s="1">
        <v>4080</v>
      </c>
      <c r="F2922" s="1">
        <v>3490</v>
      </c>
      <c r="G2922" s="1">
        <v>540770</v>
      </c>
    </row>
    <row r="2923" spans="1:7" x14ac:dyDescent="0.25">
      <c r="A2923" s="1" t="s">
        <v>3139</v>
      </c>
      <c r="B2923" s="2" t="str">
        <f>HYPERLINK("https://www.elsevier.com/locate/issn/2773-093X", "Theriogenology Wild")</f>
        <v>Theriogenology Wild</v>
      </c>
      <c r="C2923" s="1" t="s">
        <v>23</v>
      </c>
      <c r="D2923" s="1">
        <v>1590</v>
      </c>
      <c r="E2923" s="1">
        <v>1490</v>
      </c>
      <c r="F2923" s="1">
        <v>1270</v>
      </c>
      <c r="G2923" s="1">
        <v>197210</v>
      </c>
    </row>
    <row r="2924" spans="1:7" x14ac:dyDescent="0.25">
      <c r="A2924" s="1" t="s">
        <v>3140</v>
      </c>
      <c r="B2924" s="2" t="str">
        <f>HYPERLINK("https://www.elsevier.com/locate/issn/3050-4635", "Thermal Advances")</f>
        <v>Thermal Advances</v>
      </c>
      <c r="C2924" s="1" t="s">
        <v>10</v>
      </c>
      <c r="D2924" s="1">
        <v>3800</v>
      </c>
      <c r="E2924" s="1">
        <v>3550</v>
      </c>
      <c r="F2924" s="1">
        <v>3040</v>
      </c>
      <c r="G2924" s="1">
        <v>471310</v>
      </c>
    </row>
    <row r="2925" spans="1:7" x14ac:dyDescent="0.25">
      <c r="A2925" s="1" t="s">
        <v>3141</v>
      </c>
      <c r="B2925" s="2" t="str">
        <f>HYPERLINK("https://www.elsevier.com/locate/issn/2451-9049", "Thermal Science and Engineering Progress")</f>
        <v>Thermal Science and Engineering Progress</v>
      </c>
      <c r="C2925" s="1" t="s">
        <v>10</v>
      </c>
      <c r="D2925" s="1">
        <v>3000</v>
      </c>
      <c r="E2925" s="1">
        <v>3040</v>
      </c>
      <c r="F2925" s="1">
        <v>2590</v>
      </c>
      <c r="G2925" s="1">
        <v>403100</v>
      </c>
    </row>
    <row r="2926" spans="1:7" x14ac:dyDescent="0.25">
      <c r="A2926" s="1" t="s">
        <v>3142</v>
      </c>
      <c r="B2926" s="2" t="str">
        <f>HYPERLINK("https://www.elsevier.com/locate/issn/0040-6031", "Thermochimica Acta")</f>
        <v>Thermochimica Acta</v>
      </c>
      <c r="C2926" s="1" t="s">
        <v>10</v>
      </c>
      <c r="D2926" s="1">
        <v>3630</v>
      </c>
      <c r="E2926" s="1">
        <v>3400</v>
      </c>
      <c r="F2926" s="1">
        <v>2910</v>
      </c>
      <c r="G2926" s="1">
        <v>450230</v>
      </c>
    </row>
    <row r="2927" spans="1:7" x14ac:dyDescent="0.25">
      <c r="A2927" s="1" t="s">
        <v>3143</v>
      </c>
      <c r="B2927" s="2" t="str">
        <f>HYPERLINK("https://www.elsevier.com/locate/issn/0040-6090", "Thin Solid Films")</f>
        <v>Thin Solid Films</v>
      </c>
      <c r="C2927" s="1" t="s">
        <v>10</v>
      </c>
      <c r="D2927" s="1">
        <v>3120</v>
      </c>
      <c r="E2927" s="1">
        <v>2920</v>
      </c>
      <c r="F2927" s="1">
        <v>2500</v>
      </c>
      <c r="G2927" s="1">
        <v>386970</v>
      </c>
    </row>
    <row r="2928" spans="1:7" x14ac:dyDescent="0.25">
      <c r="A2928" s="1" t="s">
        <v>3144</v>
      </c>
      <c r="B2928" s="2" t="str">
        <f>HYPERLINK("https://www.elsevier.com/locate/issn/0263-8231", "Thin-Walled Structures")</f>
        <v>Thin-Walled Structures</v>
      </c>
      <c r="C2928" s="1" t="s">
        <v>10</v>
      </c>
      <c r="D2928" s="1">
        <v>4440</v>
      </c>
      <c r="E2928" s="1">
        <v>4150</v>
      </c>
      <c r="F2928" s="1">
        <v>3550</v>
      </c>
      <c r="G2928" s="1">
        <v>550690</v>
      </c>
    </row>
    <row r="2929" spans="1:7" x14ac:dyDescent="0.25">
      <c r="A2929" s="1" t="s">
        <v>3145</v>
      </c>
      <c r="B2929" s="2" t="str">
        <f>HYPERLINK("https://www.elsevier.com/locate/issn/1871-1871", "Thinking Skills and Creativity")</f>
        <v>Thinking Skills and Creativity</v>
      </c>
      <c r="C2929" s="1" t="s">
        <v>10</v>
      </c>
      <c r="D2929" s="1">
        <v>3730</v>
      </c>
      <c r="E2929" s="1">
        <v>3490</v>
      </c>
      <c r="F2929" s="1">
        <v>2990</v>
      </c>
      <c r="G2929" s="1">
        <v>462630</v>
      </c>
    </row>
    <row r="2930" spans="1:7" x14ac:dyDescent="0.25">
      <c r="A2930" s="1" t="s">
        <v>3146</v>
      </c>
      <c r="B2930" s="2" t="str">
        <f>HYPERLINK("https://www.elsevier.com/locate/issn/0049-3848", "Thrombosis Research")</f>
        <v>Thrombosis Research</v>
      </c>
      <c r="C2930" s="1" t="s">
        <v>10</v>
      </c>
      <c r="D2930" s="1">
        <v>4080</v>
      </c>
      <c r="E2930" s="1">
        <v>3820</v>
      </c>
      <c r="F2930" s="1">
        <v>3270</v>
      </c>
      <c r="G2930" s="1">
        <v>506040</v>
      </c>
    </row>
    <row r="2931" spans="1:7" x14ac:dyDescent="0.25">
      <c r="A2931" s="1" t="s">
        <v>3147</v>
      </c>
      <c r="B2931" s="2" t="str">
        <f>HYPERLINK("https://www.elsevier.com/locate/issn/2666-5727", "Thrombosis Update")</f>
        <v>Thrombosis Update</v>
      </c>
      <c r="C2931" s="1" t="s">
        <v>23</v>
      </c>
      <c r="D2931" s="1">
        <v>2090</v>
      </c>
      <c r="E2931" s="1">
        <v>1960</v>
      </c>
      <c r="F2931" s="1">
        <v>1670</v>
      </c>
      <c r="G2931" s="1">
        <v>259220</v>
      </c>
    </row>
    <row r="2932" spans="1:7" x14ac:dyDescent="0.25">
      <c r="A2932" s="1" t="s">
        <v>3148</v>
      </c>
      <c r="B2932" s="2" t="str">
        <f>HYPERLINK("https://www.elsevier.com/locate/issn/2950-3000", "Thyroid Science")</f>
        <v>Thyroid Science</v>
      </c>
      <c r="C2932" s="1" t="s">
        <v>23</v>
      </c>
      <c r="D2932" s="1">
        <v>1900</v>
      </c>
      <c r="E2932" s="1">
        <v>1780</v>
      </c>
      <c r="F2932" s="1">
        <v>1520</v>
      </c>
      <c r="G2932" s="1">
        <v>235660</v>
      </c>
    </row>
    <row r="2933" spans="1:7" x14ac:dyDescent="0.25">
      <c r="A2933" s="1" t="s">
        <v>3149</v>
      </c>
      <c r="B2933" s="2" t="str">
        <f>HYPERLINK("https://www.elsevier.com/locate/issn/1877-959X", "Ticks and Tick-borne Diseases")</f>
        <v>Ticks and Tick-borne Diseases</v>
      </c>
      <c r="C2933" s="1" t="s">
        <v>23</v>
      </c>
      <c r="D2933" s="1">
        <v>3010</v>
      </c>
      <c r="E2933" s="1">
        <v>2820</v>
      </c>
      <c r="F2933" s="1">
        <v>2410</v>
      </c>
      <c r="G2933" s="1">
        <v>373330</v>
      </c>
    </row>
    <row r="2934" spans="1:7" x14ac:dyDescent="0.25">
      <c r="A2934" s="1" t="s">
        <v>3150</v>
      </c>
      <c r="B2934" s="2" t="str">
        <f>HYPERLINK("https://www.elsevier.com/locate/issn/0040-8166", "Tissue and Cell")</f>
        <v>Tissue and Cell</v>
      </c>
      <c r="C2934" s="1" t="s">
        <v>10</v>
      </c>
      <c r="D2934" s="1">
        <v>2680</v>
      </c>
      <c r="E2934" s="1">
        <v>2510</v>
      </c>
      <c r="F2934" s="1">
        <v>2150</v>
      </c>
      <c r="G2934" s="1">
        <v>332400</v>
      </c>
    </row>
    <row r="2935" spans="1:7" x14ac:dyDescent="0.25">
      <c r="A2935" s="1" t="s">
        <v>3151</v>
      </c>
      <c r="B2935" s="2" t="str">
        <f>HYPERLINK("https://www.elsevier.com/locate/issn/2949-673X", "Tomography of Materials and Structures")</f>
        <v>Tomography of Materials and Structures</v>
      </c>
      <c r="C2935" s="1" t="s">
        <v>23</v>
      </c>
      <c r="D2935" s="1">
        <v>1850</v>
      </c>
      <c r="E2935" s="1">
        <v>1730</v>
      </c>
      <c r="F2935" s="1">
        <v>1480</v>
      </c>
      <c r="G2935" s="1">
        <v>229460</v>
      </c>
    </row>
    <row r="2936" spans="1:7" x14ac:dyDescent="0.25">
      <c r="A2936" s="1" t="s">
        <v>3152</v>
      </c>
      <c r="B2936" s="2" t="str">
        <f>HYPERLINK("https://www.elsevier.com/locate/issn/1938-9736", "Topics in Companion Animal Medicine")</f>
        <v>Topics in Companion Animal Medicine</v>
      </c>
      <c r="C2936" s="1" t="s">
        <v>10</v>
      </c>
      <c r="D2936" s="1">
        <v>2740</v>
      </c>
      <c r="E2936" s="1">
        <v>2560</v>
      </c>
      <c r="F2936" s="1">
        <v>2190</v>
      </c>
      <c r="G2936" s="1">
        <v>339840</v>
      </c>
    </row>
    <row r="2937" spans="1:7" x14ac:dyDescent="0.25">
      <c r="A2937" s="1" t="s">
        <v>3153</v>
      </c>
      <c r="B2937" s="2" t="str">
        <f>HYPERLINK("https://www.elsevier.com/locate/issn/0166-8641", "Topology and its Applications")</f>
        <v>Topology and its Applications</v>
      </c>
      <c r="C2937" s="1" t="s">
        <v>10</v>
      </c>
      <c r="D2937" s="1">
        <v>2920</v>
      </c>
      <c r="E2937" s="1">
        <v>2730</v>
      </c>
      <c r="F2937" s="1">
        <v>2340</v>
      </c>
      <c r="G2937" s="1">
        <v>362170</v>
      </c>
    </row>
    <row r="2938" spans="1:7" x14ac:dyDescent="0.25">
      <c r="A2938" s="1" t="s">
        <v>3154</v>
      </c>
      <c r="B2938" s="2" t="str">
        <f>HYPERLINK("https://www.elsevier.com/locate/issn/3050-581X", "Total Chemistry")</f>
        <v>Total Chemistry</v>
      </c>
      <c r="C2938" s="1" t="s">
        <v>10</v>
      </c>
      <c r="D2938" s="1">
        <v>2000</v>
      </c>
      <c r="E2938" s="1">
        <v>1870</v>
      </c>
      <c r="F2938" s="1">
        <v>1600</v>
      </c>
      <c r="G2938" s="1">
        <v>248060</v>
      </c>
    </row>
    <row r="2939" spans="1:7" x14ac:dyDescent="0.25">
      <c r="A2939" s="1" t="s">
        <v>3155</v>
      </c>
      <c r="B2939" s="2" t="str">
        <f>HYPERLINK("https://www.elsevier.com/locate/issn/2950-3957", "Total Environment Advances")</f>
        <v>Total Environment Advances</v>
      </c>
      <c r="C2939" s="1" t="s">
        <v>10</v>
      </c>
      <c r="D2939" s="1">
        <v>2060</v>
      </c>
      <c r="E2939" s="1">
        <v>1930</v>
      </c>
      <c r="F2939" s="1">
        <v>1650</v>
      </c>
      <c r="G2939" s="1">
        <v>255500</v>
      </c>
    </row>
    <row r="2940" spans="1:7" x14ac:dyDescent="0.25">
      <c r="A2940" s="1" t="s">
        <v>3156</v>
      </c>
      <c r="B2940" s="2" t="str">
        <f>HYPERLINK("https://www.elsevier.com/locate/issn/2950-631X", "Total Environment Engineering")</f>
        <v>Total Environment Engineering</v>
      </c>
      <c r="C2940" s="1" t="s">
        <v>10</v>
      </c>
      <c r="D2940" s="1">
        <v>3000</v>
      </c>
      <c r="E2940" s="1">
        <v>2810</v>
      </c>
      <c r="F2940" s="1">
        <v>2400</v>
      </c>
      <c r="G2940" s="1">
        <v>372090</v>
      </c>
    </row>
    <row r="2941" spans="1:7" x14ac:dyDescent="0.25">
      <c r="A2941" s="1" t="s">
        <v>3157</v>
      </c>
      <c r="B2941" s="2" t="str">
        <f>HYPERLINK("https://www.elsevier.com/locate/issn/3050-6417", "Total Environment Microbiology")</f>
        <v>Total Environment Microbiology</v>
      </c>
      <c r="C2941" s="1" t="s">
        <v>23</v>
      </c>
      <c r="D2941" s="1">
        <v>3800</v>
      </c>
      <c r="E2941" s="1">
        <v>3550</v>
      </c>
      <c r="F2941" s="1">
        <v>3040</v>
      </c>
      <c r="G2941" s="1">
        <v>471310</v>
      </c>
    </row>
    <row r="2942" spans="1:7" x14ac:dyDescent="0.25">
      <c r="A2942" s="1" t="s">
        <v>3158</v>
      </c>
      <c r="B2942" s="2" t="str">
        <f>HYPERLINK("https://www.elsevier.com/locate/issn/0261-5177", "Tourism Management")</f>
        <v>Tourism Management</v>
      </c>
      <c r="C2942" s="1" t="s">
        <v>10</v>
      </c>
      <c r="D2942" s="1">
        <v>4690</v>
      </c>
      <c r="E2942" s="1">
        <v>4390</v>
      </c>
      <c r="F2942" s="1">
        <v>3750</v>
      </c>
      <c r="G2942" s="1">
        <v>581700</v>
      </c>
    </row>
    <row r="2943" spans="1:7" x14ac:dyDescent="0.25">
      <c r="A2943" s="1" t="s">
        <v>3159</v>
      </c>
      <c r="B2943" s="2" t="str">
        <f>HYPERLINK("https://www.elsevier.com/locate/issn/2211-9736", "Tourism Management Perspectives")</f>
        <v>Tourism Management Perspectives</v>
      </c>
      <c r="C2943" s="1" t="s">
        <v>10</v>
      </c>
      <c r="D2943" s="1">
        <v>3780</v>
      </c>
      <c r="E2943" s="1">
        <v>3540</v>
      </c>
      <c r="F2943" s="1">
        <v>3030</v>
      </c>
      <c r="G2943" s="1">
        <v>468830</v>
      </c>
    </row>
    <row r="2944" spans="1:7" x14ac:dyDescent="0.25">
      <c r="A2944" s="1" t="s">
        <v>3160</v>
      </c>
      <c r="B2944" s="2" t="str">
        <f>HYPERLINK("https://www.elsevier.com/locate/issn/2352-0078", "Toxicologie Analytique et Clinique")</f>
        <v>Toxicologie Analytique et Clinique</v>
      </c>
      <c r="C2944" s="1" t="s">
        <v>10</v>
      </c>
      <c r="D2944" s="1">
        <v>3140</v>
      </c>
      <c r="E2944" s="1">
        <v>2860</v>
      </c>
      <c r="F2944" s="1">
        <v>2510</v>
      </c>
      <c r="G2944" s="1">
        <v>389450</v>
      </c>
    </row>
    <row r="2945" spans="1:7" x14ac:dyDescent="0.25">
      <c r="A2945" s="1" t="s">
        <v>3161</v>
      </c>
      <c r="B2945" s="2" t="str">
        <f>HYPERLINK("https://www.elsevier.com/locate/issn/0300-483X", "Toxicology")</f>
        <v>Toxicology</v>
      </c>
      <c r="C2945" s="1" t="s">
        <v>10</v>
      </c>
      <c r="D2945" s="1">
        <v>4250</v>
      </c>
      <c r="E2945" s="1">
        <v>3980</v>
      </c>
      <c r="F2945" s="1">
        <v>3400</v>
      </c>
      <c r="G2945" s="1">
        <v>527130</v>
      </c>
    </row>
    <row r="2946" spans="1:7" x14ac:dyDescent="0.25">
      <c r="A2946" s="1" t="s">
        <v>3162</v>
      </c>
      <c r="B2946" s="2" t="str">
        <f>HYPERLINK("https://www.elsevier.com/locate/issn/0041-008X", "Toxicology and Applied Pharmacology")</f>
        <v>Toxicology and Applied Pharmacology</v>
      </c>
      <c r="C2946" s="1" t="s">
        <v>10</v>
      </c>
      <c r="D2946" s="1">
        <v>4200</v>
      </c>
      <c r="E2946" s="1">
        <v>3930</v>
      </c>
      <c r="F2946" s="1">
        <v>3360</v>
      </c>
      <c r="G2946" s="1">
        <v>520930</v>
      </c>
    </row>
    <row r="2947" spans="1:7" x14ac:dyDescent="0.25">
      <c r="A2947" s="1" t="s">
        <v>3163</v>
      </c>
      <c r="B2947" s="2" t="str">
        <f>HYPERLINK("https://www.elsevier.com/locate/issn/0887-2333", "Toxicology in Vitro")</f>
        <v>Toxicology in Vitro</v>
      </c>
      <c r="C2947" s="1" t="s">
        <v>10</v>
      </c>
      <c r="D2947" s="1">
        <v>4200</v>
      </c>
      <c r="E2947" s="1">
        <v>3930</v>
      </c>
      <c r="F2947" s="1">
        <v>3360</v>
      </c>
      <c r="G2947" s="1">
        <v>520930</v>
      </c>
    </row>
    <row r="2948" spans="1:7" x14ac:dyDescent="0.25">
      <c r="A2948" s="1" t="s">
        <v>3164</v>
      </c>
      <c r="B2948" s="2" t="str">
        <f>HYPERLINK("https://www.elsevier.com/locate/issn/0378-4274", "Toxicology Letters")</f>
        <v>Toxicology Letters</v>
      </c>
      <c r="C2948" s="1" t="s">
        <v>10</v>
      </c>
      <c r="D2948" s="1">
        <v>4270</v>
      </c>
      <c r="E2948" s="1">
        <v>3990</v>
      </c>
      <c r="F2948" s="1">
        <v>3420</v>
      </c>
      <c r="G2948" s="1">
        <v>529610</v>
      </c>
    </row>
    <row r="2949" spans="1:7" x14ac:dyDescent="0.25">
      <c r="A2949" s="1" t="s">
        <v>3165</v>
      </c>
      <c r="B2949" s="2" t="str">
        <f>HYPERLINK("https://www.elsevier.com/locate/issn/2214-7500", "Toxicology Reports")</f>
        <v>Toxicology Reports</v>
      </c>
      <c r="C2949" s="1" t="s">
        <v>23</v>
      </c>
      <c r="D2949" s="1">
        <v>2530</v>
      </c>
      <c r="E2949" s="1">
        <v>2370</v>
      </c>
      <c r="F2949" s="1">
        <v>2030</v>
      </c>
      <c r="G2949" s="1">
        <v>313800</v>
      </c>
    </row>
    <row r="2950" spans="1:7" x14ac:dyDescent="0.25">
      <c r="A2950" s="1" t="s">
        <v>3166</v>
      </c>
      <c r="B2950" s="2" t="str">
        <f>HYPERLINK("https://www.elsevier.com/locate/issn/0041-0101", "Toxicon")</f>
        <v>Toxicon</v>
      </c>
      <c r="C2950" s="1" t="s">
        <v>10</v>
      </c>
      <c r="D2950" s="1">
        <v>3340</v>
      </c>
      <c r="E2950" s="1">
        <v>3120</v>
      </c>
      <c r="F2950" s="1">
        <v>2670</v>
      </c>
      <c r="G2950" s="1">
        <v>414260</v>
      </c>
    </row>
    <row r="2951" spans="1:7" x14ac:dyDescent="0.25">
      <c r="A2951" s="1" t="s">
        <v>3167</v>
      </c>
      <c r="B2951" s="2" t="str">
        <f>HYPERLINK("https://www.elsevier.com/locate/issn/2590-1710", "Toxicon: X")</f>
        <v>Toxicon: X</v>
      </c>
      <c r="C2951" s="1" t="s">
        <v>23</v>
      </c>
      <c r="D2951" s="1">
        <v>2740</v>
      </c>
      <c r="E2951" s="1">
        <v>2560</v>
      </c>
      <c r="F2951" s="1">
        <v>2190</v>
      </c>
      <c r="G2951" s="1">
        <v>339840</v>
      </c>
    </row>
    <row r="2952" spans="1:7" x14ac:dyDescent="0.25">
      <c r="A2952" s="1" t="s">
        <v>3168</v>
      </c>
      <c r="B2952" s="2" t="str">
        <f>HYPERLINK("https://www.elsevier.com/locate/issn/3050-9149", "Transactions of Materials Research")</f>
        <v>Transactions of Materials Research</v>
      </c>
      <c r="C2952" s="1" t="s">
        <v>23</v>
      </c>
      <c r="D2952" s="1">
        <v>1600</v>
      </c>
      <c r="E2952" s="1">
        <v>1500</v>
      </c>
      <c r="F2952" s="1">
        <v>1280</v>
      </c>
      <c r="G2952" s="1">
        <v>198450</v>
      </c>
    </row>
    <row r="2953" spans="1:7" x14ac:dyDescent="0.25">
      <c r="A2953" s="1" t="s">
        <v>3169</v>
      </c>
      <c r="B2953" s="2" t="str">
        <f>HYPERLINK("https://www.elsevier.com/locate/issn/3050-5291", "Transcranial Magnetic Stimulation")</f>
        <v>Transcranial Magnetic Stimulation</v>
      </c>
      <c r="C2953" s="1" t="s">
        <v>23</v>
      </c>
      <c r="D2953" s="1">
        <v>2500</v>
      </c>
      <c r="E2953" s="1">
        <v>2340</v>
      </c>
      <c r="F2953" s="1">
        <v>2000</v>
      </c>
      <c r="G2953" s="1">
        <v>310080</v>
      </c>
    </row>
    <row r="2954" spans="1:7" x14ac:dyDescent="0.25">
      <c r="A2954" s="1" t="s">
        <v>3170</v>
      </c>
      <c r="B2954" s="2" t="str">
        <f>HYPERLINK("https://www.elsevier.com/locate/issn/1473-0502", "Transfusion and Apheresis Science")</f>
        <v>Transfusion and Apheresis Science</v>
      </c>
      <c r="C2954" s="1" t="s">
        <v>10</v>
      </c>
      <c r="D2954" s="1">
        <v>3160</v>
      </c>
      <c r="E2954" s="1">
        <v>2960</v>
      </c>
      <c r="F2954" s="1">
        <v>2530</v>
      </c>
      <c r="G2954" s="1">
        <v>391930</v>
      </c>
    </row>
    <row r="2955" spans="1:7" x14ac:dyDescent="0.25">
      <c r="A2955" s="1" t="s">
        <v>3171</v>
      </c>
      <c r="B2955" s="2" t="str">
        <f>HYPERLINK("https://www.elsevier.com/locate/issn/1246-7820", "Transfusion Clinique et Biologique")</f>
        <v>Transfusion Clinique et Biologique</v>
      </c>
      <c r="C2955" s="1" t="s">
        <v>10</v>
      </c>
      <c r="D2955" s="1">
        <v>1820</v>
      </c>
      <c r="E2955" s="1">
        <v>1660</v>
      </c>
      <c r="F2955" s="1">
        <v>1460</v>
      </c>
      <c r="G2955" s="1">
        <v>225730</v>
      </c>
    </row>
    <row r="2956" spans="1:7" x14ac:dyDescent="0.25">
      <c r="A2956" s="1" t="s">
        <v>3172</v>
      </c>
      <c r="B2956" s="2" t="str">
        <f>HYPERLINK("https://www.elsevier.com/locate/issn/0887-7963", "Transfusion Medicine Reviews")</f>
        <v>Transfusion Medicine Reviews</v>
      </c>
      <c r="C2956" s="1" t="s">
        <v>10</v>
      </c>
      <c r="D2956" s="1">
        <v>3970</v>
      </c>
      <c r="E2956" s="1">
        <v>3710</v>
      </c>
      <c r="F2956" s="1">
        <v>3180</v>
      </c>
      <c r="G2956" s="1">
        <v>492400</v>
      </c>
    </row>
    <row r="2957" spans="1:7" x14ac:dyDescent="0.25">
      <c r="A2957" s="1" t="s">
        <v>3173</v>
      </c>
      <c r="B2957" s="2" t="str">
        <f>HYPERLINK("https://www.elsevier.com/locate/issn/2950-3485", "Translational Dental Research")</f>
        <v>Translational Dental Research</v>
      </c>
      <c r="C2957" s="1" t="s">
        <v>34</v>
      </c>
      <c r="D2957" s="1" t="s">
        <v>324</v>
      </c>
      <c r="E2957" s="1" t="s">
        <v>324</v>
      </c>
      <c r="F2957" s="1" t="s">
        <v>324</v>
      </c>
      <c r="G2957" s="1" t="s">
        <v>324</v>
      </c>
    </row>
    <row r="2958" spans="1:7" x14ac:dyDescent="0.25">
      <c r="A2958" s="1" t="s">
        <v>3174</v>
      </c>
      <c r="B2958" s="2" t="str">
        <f>HYPERLINK("https://www.elsevier.com/locate/issn/2468-5011", "Translational Medicine of Aging")</f>
        <v>Translational Medicine of Aging</v>
      </c>
      <c r="C2958" s="1" t="s">
        <v>34</v>
      </c>
      <c r="D2958" s="1">
        <v>350</v>
      </c>
      <c r="E2958" s="1">
        <v>330</v>
      </c>
      <c r="F2958" s="1">
        <v>280</v>
      </c>
      <c r="G2958" s="1">
        <v>43410</v>
      </c>
    </row>
    <row r="2959" spans="1:7" x14ac:dyDescent="0.25">
      <c r="A2959" s="1" t="s">
        <v>3175</v>
      </c>
      <c r="B2959" s="2" t="str">
        <f>HYPERLINK("https://www.elsevier.com/locate/issn/2588-9303", "Translational Metabolic Syndrome Research")</f>
        <v>Translational Metabolic Syndrome Research</v>
      </c>
      <c r="C2959" s="1" t="s">
        <v>34</v>
      </c>
      <c r="D2959" s="1">
        <v>340</v>
      </c>
      <c r="E2959" s="1">
        <v>320</v>
      </c>
      <c r="F2959" s="1">
        <v>270</v>
      </c>
      <c r="G2959" s="1">
        <v>42170</v>
      </c>
    </row>
    <row r="2960" spans="1:7" x14ac:dyDescent="0.25">
      <c r="A2960" s="1" t="s">
        <v>3176</v>
      </c>
      <c r="B2960" s="2" t="str">
        <f>HYPERLINK("https://www.elsevier.com/locate/issn/1936-5233", "Translational Oncology")</f>
        <v>Translational Oncology</v>
      </c>
      <c r="C2960" s="1" t="s">
        <v>23</v>
      </c>
      <c r="D2960" s="1">
        <v>3390</v>
      </c>
      <c r="E2960" s="1">
        <v>3170</v>
      </c>
      <c r="F2960" s="1">
        <v>2710</v>
      </c>
      <c r="G2960" s="1">
        <v>420460</v>
      </c>
    </row>
    <row r="2961" spans="1:7" x14ac:dyDescent="0.25">
      <c r="A2961" s="1" t="s">
        <v>3177</v>
      </c>
      <c r="B2961" s="2" t="str">
        <f>HYPERLINK("https://www.elsevier.com/locate/issn/1931-5244", "Translational Research")</f>
        <v>Translational Research</v>
      </c>
      <c r="C2961" s="1" t="s">
        <v>10</v>
      </c>
      <c r="D2961" s="1">
        <v>4690</v>
      </c>
      <c r="E2961" s="1">
        <v>4390</v>
      </c>
      <c r="F2961" s="1">
        <v>3750</v>
      </c>
      <c r="G2961" s="1">
        <v>581700</v>
      </c>
    </row>
    <row r="2962" spans="1:7" x14ac:dyDescent="0.25">
      <c r="A2962" s="1" t="s">
        <v>3178</v>
      </c>
      <c r="B2962" s="2" t="str">
        <f>HYPERLINK("https://www.elsevier.com/locate/issn/2214-854X", "Translational Research in Anatomy")</f>
        <v>Translational Research in Anatomy</v>
      </c>
      <c r="C2962" s="1" t="s">
        <v>23</v>
      </c>
      <c r="D2962" s="1">
        <v>1470</v>
      </c>
      <c r="E2962" s="1">
        <v>1380</v>
      </c>
      <c r="F2962" s="1">
        <v>1180</v>
      </c>
      <c r="G2962" s="1">
        <v>182320</v>
      </c>
    </row>
    <row r="2963" spans="1:7" x14ac:dyDescent="0.25">
      <c r="A2963" s="1" t="s">
        <v>3179</v>
      </c>
      <c r="B2963" s="2" t="str">
        <f>HYPERLINK("https://www.elsevier.com/locate/issn/1925-2099", "Transnational Corporations Review")</f>
        <v>Transnational Corporations Review</v>
      </c>
      <c r="C2963" s="1" t="s">
        <v>23</v>
      </c>
      <c r="D2963" s="1">
        <v>1400</v>
      </c>
      <c r="E2963" s="1">
        <v>1310</v>
      </c>
      <c r="F2963" s="1">
        <v>1120</v>
      </c>
      <c r="G2963" s="1">
        <v>173640</v>
      </c>
    </row>
    <row r="2964" spans="1:7" x14ac:dyDescent="0.25">
      <c r="A2964" s="1" t="s">
        <v>3180</v>
      </c>
      <c r="B2964" s="2" t="str">
        <f>HYPERLINK("https://www.elsevier.com/locate/issn/0966-3274", "Transplant Immunology")</f>
        <v>Transplant Immunology</v>
      </c>
      <c r="C2964" s="1" t="s">
        <v>10</v>
      </c>
      <c r="D2964" s="1">
        <v>3440</v>
      </c>
      <c r="E2964" s="1">
        <v>3220</v>
      </c>
      <c r="F2964" s="1">
        <v>2750</v>
      </c>
      <c r="G2964" s="1">
        <v>426660</v>
      </c>
    </row>
    <row r="2965" spans="1:7" x14ac:dyDescent="0.25">
      <c r="A2965" s="1" t="s">
        <v>3181</v>
      </c>
      <c r="B2965" s="2" t="str">
        <f>HYPERLINK("https://www.elsevier.com/locate/issn/2666-6367", "Transplantation and Cellular Therapy")</f>
        <v>Transplantation and Cellular Therapy</v>
      </c>
      <c r="C2965" s="1" t="s">
        <v>10</v>
      </c>
      <c r="D2965" s="1">
        <v>3650</v>
      </c>
      <c r="E2965" s="1">
        <v>3410</v>
      </c>
      <c r="F2965" s="1">
        <v>2920</v>
      </c>
      <c r="G2965" s="1">
        <v>452710</v>
      </c>
    </row>
    <row r="2966" spans="1:7" x14ac:dyDescent="0.25">
      <c r="A2966" s="1" t="s">
        <v>3182</v>
      </c>
      <c r="B2966" s="2" t="str">
        <f>HYPERLINK("https://www.elsevier.com/locate/issn/0041-1345", "Transplantation Proceedings")</f>
        <v>Transplantation Proceedings</v>
      </c>
      <c r="C2966" s="1" t="s">
        <v>10</v>
      </c>
      <c r="D2966" s="1">
        <v>3390</v>
      </c>
      <c r="E2966" s="1">
        <v>3170</v>
      </c>
      <c r="F2966" s="1">
        <v>2710</v>
      </c>
      <c r="G2966" s="1">
        <v>420460</v>
      </c>
    </row>
    <row r="2967" spans="1:7" x14ac:dyDescent="0.25">
      <c r="A2967" s="1" t="s">
        <v>3183</v>
      </c>
      <c r="B2967" s="2" t="str">
        <f>HYPERLINK("https://www.elsevier.com/locate/issn/2451-9596", "Transplantation Reports")</f>
        <v>Transplantation Reports</v>
      </c>
      <c r="C2967" s="1" t="s">
        <v>23</v>
      </c>
      <c r="D2967" s="1">
        <v>1720</v>
      </c>
      <c r="E2967" s="1">
        <v>1610</v>
      </c>
      <c r="F2967" s="1">
        <v>1380</v>
      </c>
      <c r="G2967" s="1">
        <v>213330</v>
      </c>
    </row>
    <row r="2968" spans="1:7" x14ac:dyDescent="0.25">
      <c r="A2968" s="1" t="s">
        <v>3184</v>
      </c>
      <c r="B2968" s="2" t="str">
        <f>HYPERLINK("https://www.elsevier.com/locate/issn/0955-470X", "Transplantation Reviews")</f>
        <v>Transplantation Reviews</v>
      </c>
      <c r="C2968" s="1" t="s">
        <v>10</v>
      </c>
      <c r="D2968" s="1">
        <v>4380</v>
      </c>
      <c r="E2968" s="1">
        <v>4100</v>
      </c>
      <c r="F2968" s="1">
        <v>3510</v>
      </c>
      <c r="G2968" s="1">
        <v>543250</v>
      </c>
    </row>
    <row r="2969" spans="1:7" x14ac:dyDescent="0.25">
      <c r="A2969" s="1" t="s">
        <v>3185</v>
      </c>
      <c r="B2969" s="2" t="str">
        <f>HYPERLINK("https://www.elsevier.com/locate/issn/2949-8996", "Transport Economics and Management")</f>
        <v>Transport Economics and Management</v>
      </c>
      <c r="C2969" s="1" t="s">
        <v>23</v>
      </c>
      <c r="D2969" s="1">
        <v>1540</v>
      </c>
      <c r="E2969" s="1">
        <v>1440</v>
      </c>
      <c r="F2969" s="1">
        <v>1230</v>
      </c>
      <c r="G2969" s="1">
        <v>191010</v>
      </c>
    </row>
    <row r="2970" spans="1:7" x14ac:dyDescent="0.25">
      <c r="A2970" s="1" t="s">
        <v>3186</v>
      </c>
      <c r="B2970" s="2" t="str">
        <f>HYPERLINK("https://www.elsevier.com/locate/issn/0967-070X", "Transport Policy")</f>
        <v>Transport Policy</v>
      </c>
      <c r="C2970" s="1" t="s">
        <v>10</v>
      </c>
      <c r="D2970" s="1">
        <v>2890</v>
      </c>
      <c r="E2970" s="1">
        <v>2700</v>
      </c>
      <c r="F2970" s="1">
        <v>2310</v>
      </c>
      <c r="G2970" s="1">
        <v>358450</v>
      </c>
    </row>
    <row r="2971" spans="1:7" x14ac:dyDescent="0.25">
      <c r="A2971" s="1" t="s">
        <v>3187</v>
      </c>
      <c r="B2971" s="2" t="str">
        <f>HYPERLINK("https://www.elsevier.com/locate/issn/2666-691X", "Transportation Engineering")</f>
        <v>Transportation Engineering</v>
      </c>
      <c r="C2971" s="1" t="s">
        <v>23</v>
      </c>
      <c r="D2971" s="1">
        <v>2670</v>
      </c>
      <c r="E2971" s="1">
        <v>2500</v>
      </c>
      <c r="F2971" s="1">
        <v>2140</v>
      </c>
      <c r="G2971" s="1">
        <v>331160</v>
      </c>
    </row>
    <row r="2972" spans="1:7" x14ac:dyDescent="0.25">
      <c r="A2972" s="1" t="s">
        <v>3188</v>
      </c>
      <c r="B2972" s="2" t="str">
        <f>HYPERLINK("https://www.elsevier.com/locate/issn/2214-3912", "Transportation Geotechnics")</f>
        <v>Transportation Geotechnics</v>
      </c>
      <c r="C2972" s="1" t="s">
        <v>10</v>
      </c>
      <c r="D2972" s="1">
        <v>3540</v>
      </c>
      <c r="E2972" s="1">
        <v>3310</v>
      </c>
      <c r="F2972" s="1">
        <v>2830</v>
      </c>
      <c r="G2972" s="1">
        <v>439070</v>
      </c>
    </row>
    <row r="2973" spans="1:7" x14ac:dyDescent="0.25">
      <c r="A2973" s="1" t="s">
        <v>3189</v>
      </c>
      <c r="B2973" s="2" t="str">
        <f>HYPERLINK("https://www.elsevier.com/locate/issn/2590-1982", "Transportation Research Interdisciplinary Perspectives")</f>
        <v>Transportation Research Interdisciplinary Perspectives</v>
      </c>
      <c r="C2973" s="1" t="s">
        <v>23</v>
      </c>
      <c r="D2973" s="1">
        <v>2090</v>
      </c>
      <c r="E2973" s="1">
        <v>1960</v>
      </c>
      <c r="F2973" s="1">
        <v>1670</v>
      </c>
      <c r="G2973" s="1">
        <v>259220</v>
      </c>
    </row>
    <row r="2974" spans="1:7" x14ac:dyDescent="0.25">
      <c r="A2974" s="1" t="s">
        <v>3190</v>
      </c>
      <c r="B2974" s="2" t="str">
        <f>HYPERLINK("https://www.elsevier.com/locate/issn/0965-8564", "Transportation Research Part A: Policy and Practice")</f>
        <v>Transportation Research Part A: Policy and Practice</v>
      </c>
      <c r="C2974" s="1" t="s">
        <v>10</v>
      </c>
      <c r="D2974" s="1">
        <v>3270</v>
      </c>
      <c r="E2974" s="1">
        <v>3060</v>
      </c>
      <c r="F2974" s="1">
        <v>2620</v>
      </c>
      <c r="G2974" s="1">
        <v>405580</v>
      </c>
    </row>
    <row r="2975" spans="1:7" x14ac:dyDescent="0.25">
      <c r="A2975" s="1" t="s">
        <v>3191</v>
      </c>
      <c r="B2975" s="2" t="str">
        <f>HYPERLINK("https://www.elsevier.com/locate/issn/0191-2615", "Transportation Research Part B: Methodological")</f>
        <v>Transportation Research Part B: Methodological</v>
      </c>
      <c r="C2975" s="1" t="s">
        <v>10</v>
      </c>
      <c r="D2975" s="1">
        <v>3810</v>
      </c>
      <c r="E2975" s="1">
        <v>3560</v>
      </c>
      <c r="F2975" s="1">
        <v>3050</v>
      </c>
      <c r="G2975" s="1">
        <v>472550</v>
      </c>
    </row>
    <row r="2976" spans="1:7" x14ac:dyDescent="0.25">
      <c r="A2976" s="1" t="s">
        <v>3192</v>
      </c>
      <c r="B2976" s="2" t="str">
        <f>HYPERLINK("https://www.elsevier.com/locate/issn/0968-090X", "Transportation Research Part C: Emerging Technologies")</f>
        <v>Transportation Research Part C: Emerging Technologies</v>
      </c>
      <c r="C2976" s="1" t="s">
        <v>10</v>
      </c>
      <c r="D2976" s="1">
        <v>4040</v>
      </c>
      <c r="E2976" s="1">
        <v>3780</v>
      </c>
      <c r="F2976" s="1">
        <v>3230</v>
      </c>
      <c r="G2976" s="1">
        <v>501080</v>
      </c>
    </row>
    <row r="2977" spans="1:7" x14ac:dyDescent="0.25">
      <c r="A2977" s="1" t="s">
        <v>3193</v>
      </c>
      <c r="B2977" s="2" t="str">
        <f>HYPERLINK("https://www.elsevier.com/locate/issn/1361-9209", "Transportation Research Part D: Transport and Environment")</f>
        <v>Transportation Research Part D: Transport and Environment</v>
      </c>
      <c r="C2977" s="1" t="s">
        <v>10</v>
      </c>
      <c r="D2977" s="1">
        <v>3450</v>
      </c>
      <c r="E2977" s="1">
        <v>3230</v>
      </c>
      <c r="F2977" s="1">
        <v>2760</v>
      </c>
      <c r="G2977" s="1">
        <v>427900</v>
      </c>
    </row>
    <row r="2978" spans="1:7" x14ac:dyDescent="0.25">
      <c r="A2978" s="1" t="s">
        <v>3194</v>
      </c>
      <c r="B2978" s="2" t="str">
        <f>HYPERLINK("https://www.elsevier.com/locate/issn/1366-5545", "Transportation Research Part E: Logistics and Transportation Review")</f>
        <v>Transportation Research Part E: Logistics and Transportation Review</v>
      </c>
      <c r="C2978" s="1" t="s">
        <v>10</v>
      </c>
      <c r="D2978" s="1">
        <v>4240</v>
      </c>
      <c r="E2978" s="1">
        <v>3970</v>
      </c>
      <c r="F2978" s="1">
        <v>3390</v>
      </c>
      <c r="G2978" s="1">
        <v>525890</v>
      </c>
    </row>
    <row r="2979" spans="1:7" x14ac:dyDescent="0.25">
      <c r="A2979" s="1" t="s">
        <v>3195</v>
      </c>
      <c r="B2979" s="2" t="str">
        <f>HYPERLINK("https://www.elsevier.com/locate/issn/1369-8478", "Transportation Research Part F: Traffic Psychology and Behaviour")</f>
        <v>Transportation Research Part F: Traffic Psychology and Behaviour</v>
      </c>
      <c r="C2979" s="1" t="s">
        <v>10</v>
      </c>
      <c r="D2979" s="1">
        <v>2780</v>
      </c>
      <c r="E2979" s="1">
        <v>2600</v>
      </c>
      <c r="F2979" s="1">
        <v>2230</v>
      </c>
      <c r="G2979" s="1">
        <v>344800</v>
      </c>
    </row>
    <row r="2980" spans="1:7" x14ac:dyDescent="0.25">
      <c r="A2980" s="1" t="s">
        <v>3196</v>
      </c>
      <c r="B2980" s="2" t="str">
        <f>HYPERLINK("https://www.elsevier.com/locate/issn/2352-1465", "Transportation Research Procedia")</f>
        <v>Transportation Research Procedia</v>
      </c>
      <c r="C2980" s="1" t="s">
        <v>34</v>
      </c>
      <c r="D2980" s="1" t="s">
        <v>324</v>
      </c>
      <c r="E2980" s="1" t="s">
        <v>324</v>
      </c>
      <c r="F2980" s="1" t="s">
        <v>324</v>
      </c>
      <c r="G2980" s="1" t="s">
        <v>324</v>
      </c>
    </row>
    <row r="2981" spans="1:7" x14ac:dyDescent="0.25">
      <c r="A2981" s="1" t="s">
        <v>3197</v>
      </c>
      <c r="B2981" s="2" t="str">
        <f>HYPERLINK("https://www.elsevier.com/locate/issn/2352-6440", "Trauma Case Reports")</f>
        <v>Trauma Case Reports</v>
      </c>
      <c r="C2981" s="1" t="s">
        <v>23</v>
      </c>
      <c r="D2981" s="1">
        <v>1190</v>
      </c>
      <c r="E2981" s="1">
        <v>1110</v>
      </c>
      <c r="F2981" s="1">
        <v>950</v>
      </c>
      <c r="G2981" s="1">
        <v>147600</v>
      </c>
    </row>
    <row r="2982" spans="1:7" x14ac:dyDescent="0.25">
      <c r="A2982" s="1" t="s">
        <v>3198</v>
      </c>
      <c r="B2982" s="2" t="str">
        <f>HYPERLINK("https://www.elsevier.com/locate/issn/2214-367X", "Travel Behaviour and Society")</f>
        <v>Travel Behaviour and Society</v>
      </c>
      <c r="C2982" s="1" t="s">
        <v>10</v>
      </c>
      <c r="D2982" s="1">
        <v>2850</v>
      </c>
      <c r="E2982" s="1">
        <v>2670</v>
      </c>
      <c r="F2982" s="1">
        <v>2280</v>
      </c>
      <c r="G2982" s="1">
        <v>353490</v>
      </c>
    </row>
    <row r="2983" spans="1:7" x14ac:dyDescent="0.25">
      <c r="A2983" s="1" t="s">
        <v>3199</v>
      </c>
      <c r="B2983" s="2" t="str">
        <f>HYPERLINK("https://www.elsevier.com/locate/issn/1477-8939", "Travel Medicine and Infectious Disease")</f>
        <v>Travel Medicine and Infectious Disease</v>
      </c>
      <c r="C2983" s="1" t="s">
        <v>23</v>
      </c>
      <c r="D2983" s="1">
        <v>3710</v>
      </c>
      <c r="E2983" s="1">
        <v>3470</v>
      </c>
      <c r="F2983" s="1">
        <v>2970</v>
      </c>
      <c r="G2983" s="1">
        <v>460150</v>
      </c>
    </row>
    <row r="2984" spans="1:7" x14ac:dyDescent="0.25">
      <c r="A2984" s="1" t="s">
        <v>3200</v>
      </c>
      <c r="B2984" s="2" t="str">
        <f>HYPERLINK("https://www.elsevier.com/locate/issn/2210-8440", "Trends in Anaesthesia and Critical Care")</f>
        <v>Trends in Anaesthesia and Critical Care</v>
      </c>
      <c r="C2984" s="1" t="s">
        <v>10</v>
      </c>
      <c r="D2984" s="1">
        <v>2660</v>
      </c>
      <c r="E2984" s="1">
        <v>2490</v>
      </c>
      <c r="F2984" s="1">
        <v>2130</v>
      </c>
      <c r="G2984" s="1">
        <v>329920</v>
      </c>
    </row>
    <row r="2985" spans="1:7" x14ac:dyDescent="0.25">
      <c r="A2985" s="1" t="s">
        <v>3201</v>
      </c>
      <c r="B2985" s="2" t="str">
        <f>HYPERLINK("https://www.elsevier.com/locate/issn/0165-9936", "TrAC Trends in Analytical Chemistry")</f>
        <v>TrAC Trends in Analytical Chemistry</v>
      </c>
      <c r="C2985" s="1" t="s">
        <v>10</v>
      </c>
      <c r="D2985" s="1">
        <v>5150</v>
      </c>
      <c r="E2985" s="1">
        <v>4820</v>
      </c>
      <c r="F2985" s="1">
        <v>4120</v>
      </c>
      <c r="G2985" s="1">
        <v>638750</v>
      </c>
    </row>
    <row r="2986" spans="1:7" x14ac:dyDescent="0.25">
      <c r="A2986" s="1" t="s">
        <v>3202</v>
      </c>
      <c r="B2986" s="2" t="str">
        <f>HYPERLINK("https://www.elsevier.com/locate/issn/0968-0004", "Trends in Biochemical Sciences")</f>
        <v>Trends in Biochemical Sciences</v>
      </c>
      <c r="C2986" s="1" t="s">
        <v>10</v>
      </c>
      <c r="D2986" s="1">
        <v>7030</v>
      </c>
      <c r="E2986" s="1">
        <v>6510</v>
      </c>
      <c r="F2986" s="1">
        <v>5630</v>
      </c>
      <c r="G2986" s="1">
        <v>871930</v>
      </c>
    </row>
    <row r="2987" spans="1:7" x14ac:dyDescent="0.25">
      <c r="A2987" s="1" t="s">
        <v>3203</v>
      </c>
      <c r="B2987" s="2" t="str">
        <f>HYPERLINK("https://www.elsevier.com/locate/issn/0167-7799", "Trends in Biotechnology")</f>
        <v>Trends in Biotechnology</v>
      </c>
      <c r="C2987" s="1" t="s">
        <v>10</v>
      </c>
      <c r="D2987" s="1">
        <v>7030</v>
      </c>
      <c r="E2987" s="1">
        <v>6510</v>
      </c>
      <c r="F2987" s="1">
        <v>5630</v>
      </c>
      <c r="G2987" s="1">
        <v>871930</v>
      </c>
    </row>
    <row r="2988" spans="1:7" x14ac:dyDescent="0.25">
      <c r="A2988" s="1" t="s">
        <v>3204</v>
      </c>
      <c r="B2988" s="2" t="str">
        <f>HYPERLINK("https://www.elsevier.com/locate/issn/2405-8033", "Trends in Cancer")</f>
        <v>Trends in Cancer</v>
      </c>
      <c r="C2988" s="1" t="s">
        <v>10</v>
      </c>
      <c r="D2988" s="1">
        <v>7030</v>
      </c>
      <c r="E2988" s="1">
        <v>6510</v>
      </c>
      <c r="F2988" s="1">
        <v>5630</v>
      </c>
      <c r="G2988" s="1">
        <v>871930</v>
      </c>
    </row>
    <row r="2989" spans="1:7" x14ac:dyDescent="0.25">
      <c r="A2989" s="1" t="s">
        <v>3205</v>
      </c>
      <c r="B2989" s="2" t="str">
        <f>HYPERLINK("https://www.elsevier.com/locate/issn/1050-1738", "Trends in Cardiovascular Medicine")</f>
        <v>Trends in Cardiovascular Medicine</v>
      </c>
      <c r="C2989" s="1" t="s">
        <v>10</v>
      </c>
      <c r="D2989" s="1">
        <v>4740</v>
      </c>
      <c r="E2989" s="1">
        <v>4430</v>
      </c>
      <c r="F2989" s="1">
        <v>3790</v>
      </c>
      <c r="G2989" s="1">
        <v>587900</v>
      </c>
    </row>
    <row r="2990" spans="1:7" x14ac:dyDescent="0.25">
      <c r="A2990" s="1" t="s">
        <v>3206</v>
      </c>
      <c r="B2990" s="2" t="str">
        <f>HYPERLINK("https://www.elsevier.com/locate/issn/0962-8924", "Trends in Cell Biology")</f>
        <v>Trends in Cell Biology</v>
      </c>
      <c r="C2990" s="1" t="s">
        <v>10</v>
      </c>
      <c r="D2990" s="1">
        <v>7030</v>
      </c>
      <c r="E2990" s="1">
        <v>6510</v>
      </c>
      <c r="F2990" s="1">
        <v>5630</v>
      </c>
      <c r="G2990" s="1">
        <v>871930</v>
      </c>
    </row>
    <row r="2991" spans="1:7" x14ac:dyDescent="0.25">
      <c r="A2991" s="1" t="s">
        <v>3207</v>
      </c>
      <c r="B2991" s="2" t="str">
        <f>HYPERLINK("https://www.elsevier.com/locate/issn/2589-5974", "Trends in Chemistry")</f>
        <v>Trends in Chemistry</v>
      </c>
      <c r="C2991" s="1" t="s">
        <v>10</v>
      </c>
      <c r="D2991" s="1">
        <v>7030</v>
      </c>
      <c r="E2991" s="1">
        <v>6510</v>
      </c>
      <c r="F2991" s="1">
        <v>5630</v>
      </c>
      <c r="G2991" s="1">
        <v>871930</v>
      </c>
    </row>
    <row r="2992" spans="1:7" x14ac:dyDescent="0.25">
      <c r="A2992" s="1" t="s">
        <v>3208</v>
      </c>
      <c r="B2992" s="2" t="str">
        <f>HYPERLINK("https://www.elsevier.com/locate/issn/1364-6613", "Trends in Cognitive Sciences")</f>
        <v>Trends in Cognitive Sciences</v>
      </c>
      <c r="C2992" s="1" t="s">
        <v>10</v>
      </c>
      <c r="D2992" s="1">
        <v>7030</v>
      </c>
      <c r="E2992" s="1">
        <v>6510</v>
      </c>
      <c r="F2992" s="1">
        <v>5630</v>
      </c>
      <c r="G2992" s="1">
        <v>871930</v>
      </c>
    </row>
    <row r="2993" spans="1:7" x14ac:dyDescent="0.25">
      <c r="A2993" s="1" t="s">
        <v>3209</v>
      </c>
      <c r="B2993" s="2" t="str">
        <f>HYPERLINK("https://www.elsevier.com/locate/issn/0169-5347", "Trends in Ecology &amp; Evolution")</f>
        <v>Trends in Ecology &amp; Evolution</v>
      </c>
      <c r="C2993" s="1" t="s">
        <v>10</v>
      </c>
      <c r="D2993" s="1">
        <v>7030</v>
      </c>
      <c r="E2993" s="1">
        <v>6510</v>
      </c>
      <c r="F2993" s="1">
        <v>5630</v>
      </c>
      <c r="G2993" s="1">
        <v>871930</v>
      </c>
    </row>
    <row r="2994" spans="1:7" x14ac:dyDescent="0.25">
      <c r="A2994" s="1" t="s">
        <v>3210</v>
      </c>
      <c r="B2994" s="2" t="str">
        <f>HYPERLINK("https://www.elsevier.com/locate/issn/1043-2760", "Trends in Endocrinology &amp; Metabolism")</f>
        <v>Trends in Endocrinology &amp; Metabolism</v>
      </c>
      <c r="C2994" s="1" t="s">
        <v>10</v>
      </c>
      <c r="D2994" s="1">
        <v>7030</v>
      </c>
      <c r="E2994" s="1">
        <v>6510</v>
      </c>
      <c r="F2994" s="1">
        <v>5630</v>
      </c>
      <c r="G2994" s="1">
        <v>871930</v>
      </c>
    </row>
    <row r="2995" spans="1:7" x14ac:dyDescent="0.25">
      <c r="A2995" s="1" t="s">
        <v>3211</v>
      </c>
      <c r="B2995" s="2" t="str">
        <f>HYPERLINK("https://www.elsevier.com/locate/issn/2214-1588", "Trends in Environmental Analytical Chemistry")</f>
        <v>Trends in Environmental Analytical Chemistry</v>
      </c>
      <c r="C2995" s="1" t="s">
        <v>10</v>
      </c>
      <c r="D2995" s="1">
        <v>4430</v>
      </c>
      <c r="E2995" s="1">
        <v>4140</v>
      </c>
      <c r="F2995" s="1">
        <v>3550</v>
      </c>
      <c r="G2995" s="1">
        <v>549450</v>
      </c>
    </row>
    <row r="2996" spans="1:7" x14ac:dyDescent="0.25">
      <c r="A2996" s="1" t="s">
        <v>3212</v>
      </c>
      <c r="B2996" s="2" t="str">
        <f>HYPERLINK("https://www.elsevier.com/locate/issn/0924-2244", "Trends in Food Science &amp; Technology")</f>
        <v>Trends in Food Science &amp; Technology</v>
      </c>
      <c r="C2996" s="1" t="s">
        <v>10</v>
      </c>
      <c r="D2996" s="1">
        <v>5440</v>
      </c>
      <c r="E2996" s="1">
        <v>5090</v>
      </c>
      <c r="F2996" s="1">
        <v>4360</v>
      </c>
      <c r="G2996" s="1">
        <v>674720</v>
      </c>
    </row>
    <row r="2997" spans="1:7" x14ac:dyDescent="0.25">
      <c r="A2997" s="1" t="s">
        <v>3213</v>
      </c>
      <c r="B2997" s="2" t="str">
        <f>HYPERLINK("https://www.elsevier.com/locate/issn/0168-9525", "Trends in Genetics")</f>
        <v>Trends in Genetics</v>
      </c>
      <c r="C2997" s="1" t="s">
        <v>10</v>
      </c>
      <c r="D2997" s="1">
        <v>7030</v>
      </c>
      <c r="E2997" s="1">
        <v>6510</v>
      </c>
      <c r="F2997" s="1">
        <v>5630</v>
      </c>
      <c r="G2997" s="1">
        <v>871930</v>
      </c>
    </row>
    <row r="2998" spans="1:7" x14ac:dyDescent="0.25">
      <c r="A2998" s="1" t="s">
        <v>3214</v>
      </c>
      <c r="B2998" s="2" t="str">
        <f>HYPERLINK("https://www.elsevier.com/locate/issn/1471-4906", "Trends in Immunology")</f>
        <v>Trends in Immunology</v>
      </c>
      <c r="C2998" s="1" t="s">
        <v>10</v>
      </c>
      <c r="D2998" s="1">
        <v>7030</v>
      </c>
      <c r="E2998" s="1">
        <v>6510</v>
      </c>
      <c r="F2998" s="1">
        <v>5630</v>
      </c>
      <c r="G2998" s="1">
        <v>871930</v>
      </c>
    </row>
    <row r="2999" spans="1:7" x14ac:dyDescent="0.25">
      <c r="A2999" s="1" t="s">
        <v>3215</v>
      </c>
      <c r="B2999" s="2" t="str">
        <f>HYPERLINK("https://www.elsevier.com/locate/issn/0966-842X", "Trends in Microbiology")</f>
        <v>Trends in Microbiology</v>
      </c>
      <c r="C2999" s="1" t="s">
        <v>10</v>
      </c>
      <c r="D2999" s="1">
        <v>7030</v>
      </c>
      <c r="E2999" s="1">
        <v>6510</v>
      </c>
      <c r="F2999" s="1">
        <v>5630</v>
      </c>
      <c r="G2999" s="1">
        <v>871930</v>
      </c>
    </row>
    <row r="3000" spans="1:7" x14ac:dyDescent="0.25">
      <c r="A3000" s="1" t="s">
        <v>3216</v>
      </c>
      <c r="B3000" s="2" t="str">
        <f>HYPERLINK("https://www.elsevier.com/locate/issn/1471-4914", "Trends in Molecular Medicine")</f>
        <v>Trends in Molecular Medicine</v>
      </c>
      <c r="C3000" s="1" t="s">
        <v>10</v>
      </c>
      <c r="D3000" s="1">
        <v>7030</v>
      </c>
      <c r="E3000" s="1">
        <v>6510</v>
      </c>
      <c r="F3000" s="1">
        <v>5630</v>
      </c>
      <c r="G3000" s="1">
        <v>871930</v>
      </c>
    </row>
    <row r="3001" spans="1:7" x14ac:dyDescent="0.25">
      <c r="A3001" s="1" t="s">
        <v>3217</v>
      </c>
      <c r="B3001" s="2" t="str">
        <f>HYPERLINK("https://www.elsevier.com/locate/issn/2211-9493", "Trends in Neuroscience and Education")</f>
        <v>Trends in Neuroscience and Education</v>
      </c>
      <c r="C3001" s="1" t="s">
        <v>10</v>
      </c>
      <c r="D3001" s="1">
        <v>3880</v>
      </c>
      <c r="E3001" s="1">
        <v>3630</v>
      </c>
      <c r="F3001" s="1">
        <v>3110</v>
      </c>
      <c r="G3001" s="1">
        <v>481240</v>
      </c>
    </row>
    <row r="3002" spans="1:7" x14ac:dyDescent="0.25">
      <c r="A3002" s="1" t="s">
        <v>3218</v>
      </c>
      <c r="B3002" s="2" t="str">
        <f>HYPERLINK("https://www.elsevier.com/locate/issn/0166-2236", "Trends in Neurosciences")</f>
        <v>Trends in Neurosciences</v>
      </c>
      <c r="C3002" s="1" t="s">
        <v>10</v>
      </c>
      <c r="D3002" s="1">
        <v>7030</v>
      </c>
      <c r="E3002" s="1">
        <v>6510</v>
      </c>
      <c r="F3002" s="1">
        <v>5630</v>
      </c>
      <c r="G3002" s="1">
        <v>871930</v>
      </c>
    </row>
    <row r="3003" spans="1:7" x14ac:dyDescent="0.25">
      <c r="A3003" s="1" t="s">
        <v>3219</v>
      </c>
      <c r="B3003" s="2" t="str">
        <f>HYPERLINK("https://www.elsevier.com/locate/issn/1471-4922", "Trends in Parasitology")</f>
        <v>Trends in Parasitology</v>
      </c>
      <c r="C3003" s="1" t="s">
        <v>10</v>
      </c>
      <c r="D3003" s="1">
        <v>7030</v>
      </c>
      <c r="E3003" s="1">
        <v>6510</v>
      </c>
      <c r="F3003" s="1">
        <v>5630</v>
      </c>
      <c r="G3003" s="1">
        <v>871930</v>
      </c>
    </row>
    <row r="3004" spans="1:7" x14ac:dyDescent="0.25">
      <c r="A3004" s="1" t="s">
        <v>3220</v>
      </c>
      <c r="B3004" s="2" t="str">
        <f>HYPERLINK("https://www.elsevier.com/locate/issn/0165-6147", "Trends in Pharmacological Sciences")</f>
        <v>Trends in Pharmacological Sciences</v>
      </c>
      <c r="C3004" s="1" t="s">
        <v>10</v>
      </c>
      <c r="D3004" s="1">
        <v>7030</v>
      </c>
      <c r="E3004" s="1">
        <v>6510</v>
      </c>
      <c r="F3004" s="1">
        <v>5630</v>
      </c>
      <c r="G3004" s="1">
        <v>871930</v>
      </c>
    </row>
    <row r="3005" spans="1:7" x14ac:dyDescent="0.25">
      <c r="A3005" s="1" t="s">
        <v>3221</v>
      </c>
      <c r="B3005" s="2" t="str">
        <f>HYPERLINK("https://www.elsevier.com/locate/issn/1360-1385", "Trends in Plant Science")</f>
        <v>Trends in Plant Science</v>
      </c>
      <c r="C3005" s="1" t="s">
        <v>10</v>
      </c>
      <c r="D3005" s="1">
        <v>7030</v>
      </c>
      <c r="E3005" s="1">
        <v>6510</v>
      </c>
      <c r="F3005" s="1">
        <v>5630</v>
      </c>
      <c r="G3005" s="1">
        <v>871930</v>
      </c>
    </row>
    <row r="3006" spans="1:7" x14ac:dyDescent="0.25">
      <c r="A3006" s="1" t="s">
        <v>3222</v>
      </c>
      <c r="B3006" s="2" t="str">
        <f>HYPERLINK("https://www.elsevier.com/locate/issn/0301-679X", "Tribology International")</f>
        <v>Tribology International</v>
      </c>
      <c r="C3006" s="1" t="s">
        <v>10</v>
      </c>
      <c r="D3006" s="1">
        <v>5390</v>
      </c>
      <c r="E3006" s="1">
        <v>5040</v>
      </c>
      <c r="F3006" s="1">
        <v>4320</v>
      </c>
      <c r="G3006" s="1">
        <v>668520</v>
      </c>
    </row>
    <row r="3007" spans="1:7" x14ac:dyDescent="0.25">
      <c r="A3007" s="1" t="s">
        <v>3223</v>
      </c>
      <c r="B3007" s="2" t="str">
        <f>HYPERLINK("https://www.elsevier.com/locate/issn/2950-5100", "Tropical Agriculture Science")</f>
        <v>Tropical Agriculture Science</v>
      </c>
      <c r="C3007" s="1" t="s">
        <v>23</v>
      </c>
      <c r="D3007" s="1">
        <v>1900</v>
      </c>
      <c r="E3007" s="1">
        <v>1780</v>
      </c>
      <c r="F3007" s="1">
        <v>1520</v>
      </c>
      <c r="G3007" s="1">
        <v>235660</v>
      </c>
    </row>
    <row r="3008" spans="1:7" x14ac:dyDescent="0.25">
      <c r="A3008" s="1" t="s">
        <v>3224</v>
      </c>
      <c r="B3008" s="2" t="str">
        <f>HYPERLINK("https://www.elsevier.com/locate/issn/2225-6032", "Tropical Cyclone Research and Review")</f>
        <v>Tropical Cyclone Research and Review</v>
      </c>
      <c r="C3008" s="1" t="s">
        <v>34</v>
      </c>
      <c r="D3008" s="1" t="s">
        <v>324</v>
      </c>
      <c r="E3008" s="1" t="s">
        <v>324</v>
      </c>
      <c r="F3008" s="1" t="s">
        <v>324</v>
      </c>
      <c r="G3008" s="1" t="s">
        <v>324</v>
      </c>
    </row>
    <row r="3009" spans="1:7" x14ac:dyDescent="0.25">
      <c r="A3009" s="1" t="s">
        <v>3225</v>
      </c>
      <c r="B3009" s="2" t="str">
        <f>HYPERLINK("https://www.elsevier.com/locate/issn/1472-9792", "Tuberculosis")</f>
        <v>Tuberculosis</v>
      </c>
      <c r="C3009" s="1" t="s">
        <v>10</v>
      </c>
      <c r="D3009" s="1">
        <v>2690</v>
      </c>
      <c r="E3009" s="1">
        <v>2520</v>
      </c>
      <c r="F3009" s="1">
        <v>2150</v>
      </c>
      <c r="G3009" s="1">
        <v>333640</v>
      </c>
    </row>
    <row r="3010" spans="1:7" x14ac:dyDescent="0.25">
      <c r="A3010" s="1" t="s">
        <v>3226</v>
      </c>
      <c r="B3010" s="2" t="str">
        <f>HYPERLINK("https://www.elsevier.com/locate/issn/2666-6790", "Tumour Virus Research")</f>
        <v>Tumour Virus Research</v>
      </c>
      <c r="C3010" s="1" t="s">
        <v>23</v>
      </c>
      <c r="D3010" s="1">
        <v>3110</v>
      </c>
      <c r="E3010" s="1">
        <v>2910</v>
      </c>
      <c r="F3010" s="1">
        <v>2490</v>
      </c>
      <c r="G3010" s="1">
        <v>385730</v>
      </c>
    </row>
    <row r="3011" spans="1:7" x14ac:dyDescent="0.25">
      <c r="A3011" s="1" t="s">
        <v>3227</v>
      </c>
      <c r="B3011" s="2" t="str">
        <f>HYPERLINK("https://www.elsevier.com/locate/issn/0886-7798", "Tunnelling and Underground Space Technology")</f>
        <v>Tunnelling and Underground Space Technology</v>
      </c>
      <c r="C3011" s="1" t="s">
        <v>10</v>
      </c>
      <c r="D3011" s="1">
        <v>3820</v>
      </c>
      <c r="E3011" s="1">
        <v>3570</v>
      </c>
      <c r="F3011" s="1">
        <v>3060</v>
      </c>
      <c r="G3011" s="1">
        <v>473790</v>
      </c>
    </row>
    <row r="3012" spans="1:7" x14ac:dyDescent="0.25">
      <c r="A3012" s="1" t="s">
        <v>3228</v>
      </c>
      <c r="B3012" s="2" t="str">
        <f>HYPERLINK("https://www.elsevier.com/locate/issn/0304-3991", "Ultramicroscopy")</f>
        <v>Ultramicroscopy</v>
      </c>
      <c r="C3012" s="1" t="s">
        <v>10</v>
      </c>
      <c r="D3012" s="1">
        <v>3760</v>
      </c>
      <c r="E3012" s="1">
        <v>3520</v>
      </c>
      <c r="F3012" s="1">
        <v>3010</v>
      </c>
      <c r="G3012" s="1">
        <v>466350</v>
      </c>
    </row>
    <row r="3013" spans="1:7" x14ac:dyDescent="0.25">
      <c r="A3013" s="1" t="s">
        <v>3229</v>
      </c>
      <c r="B3013" s="2" t="str">
        <f>HYPERLINK("https://www.elsevier.com/locate/issn/0041-624X", "Ultrasonics")</f>
        <v>Ultrasonics</v>
      </c>
      <c r="C3013" s="1" t="s">
        <v>10</v>
      </c>
      <c r="D3013" s="1">
        <v>3680</v>
      </c>
      <c r="E3013" s="1">
        <v>3440</v>
      </c>
      <c r="F3013" s="1">
        <v>2950</v>
      </c>
      <c r="G3013" s="1">
        <v>456430</v>
      </c>
    </row>
    <row r="3014" spans="1:7" x14ac:dyDescent="0.25">
      <c r="A3014" s="1" t="s">
        <v>3230</v>
      </c>
      <c r="B3014" s="2" t="str">
        <f>HYPERLINK("https://www.elsevier.com/locate/issn/1350-4177", "Ultrasonics Sonochemistry")</f>
        <v>Ultrasonics Sonochemistry</v>
      </c>
      <c r="C3014" s="1" t="s">
        <v>23</v>
      </c>
      <c r="D3014" s="1">
        <v>3380</v>
      </c>
      <c r="E3014" s="1">
        <v>3160</v>
      </c>
      <c r="F3014" s="1">
        <v>2710</v>
      </c>
      <c r="G3014" s="1">
        <v>419220</v>
      </c>
    </row>
    <row r="3015" spans="1:7" x14ac:dyDescent="0.25">
      <c r="A3015" s="1" t="s">
        <v>3231</v>
      </c>
      <c r="B3015" s="2" t="str">
        <f>HYPERLINK("https://www.elsevier.com/locate/issn/0301-5629", "Ultrasound in Medicine &amp; Biology")</f>
        <v>Ultrasound in Medicine &amp; Biology</v>
      </c>
      <c r="C3015" s="1" t="s">
        <v>10</v>
      </c>
      <c r="D3015" s="1">
        <v>3050</v>
      </c>
      <c r="E3015" s="1">
        <v>2850</v>
      </c>
      <c r="F3015" s="1">
        <v>2440</v>
      </c>
      <c r="G3015" s="1">
        <v>378290</v>
      </c>
    </row>
    <row r="3016" spans="1:7" x14ac:dyDescent="0.25">
      <c r="A3016" s="1" t="s">
        <v>3232</v>
      </c>
      <c r="B3016" s="2" t="str">
        <f>HYPERLINK("https://www.elsevier.com/locate/issn/2666-5190", "Unconventional Resources")</f>
        <v>Unconventional Resources</v>
      </c>
      <c r="C3016" s="1" t="s">
        <v>34</v>
      </c>
      <c r="D3016" s="1" t="s">
        <v>324</v>
      </c>
      <c r="E3016" s="1" t="s">
        <v>324</v>
      </c>
      <c r="F3016" s="1" t="s">
        <v>324</v>
      </c>
      <c r="G3016" s="1" t="s">
        <v>324</v>
      </c>
    </row>
    <row r="3017" spans="1:7" x14ac:dyDescent="0.25">
      <c r="A3017" s="1" t="s">
        <v>3233</v>
      </c>
      <c r="B3017" s="2" t="str">
        <f>HYPERLINK("https://www.elsevier.com/locate/issn/2467-9674", "Underground Space")</f>
        <v>Underground Space</v>
      </c>
      <c r="C3017" s="1" t="s">
        <v>34</v>
      </c>
      <c r="D3017" s="1" t="s">
        <v>324</v>
      </c>
      <c r="E3017" s="1" t="s">
        <v>324</v>
      </c>
      <c r="F3017" s="1" t="s">
        <v>324</v>
      </c>
      <c r="G3017" s="1" t="s">
        <v>324</v>
      </c>
    </row>
    <row r="3018" spans="1:7" x14ac:dyDescent="0.25">
      <c r="A3018" s="1" t="s">
        <v>3234</v>
      </c>
      <c r="B3018" s="2" t="str">
        <f>HYPERLINK("https://www.elsevier.com/locate/issn/2212-0955", "Urban Climate")</f>
        <v>Urban Climate</v>
      </c>
      <c r="C3018" s="1" t="s">
        <v>10</v>
      </c>
      <c r="D3018" s="1">
        <v>3690</v>
      </c>
      <c r="E3018" s="1">
        <v>3450</v>
      </c>
      <c r="F3018" s="1">
        <v>2950</v>
      </c>
      <c r="G3018" s="1">
        <v>457670</v>
      </c>
    </row>
    <row r="3019" spans="1:7" x14ac:dyDescent="0.25">
      <c r="A3019" s="1" t="s">
        <v>3235</v>
      </c>
      <c r="B3019" s="2" t="str">
        <f>HYPERLINK("https://www.elsevier.com/locate/issn/1618-8667", "Urban Forestry &amp; Urban Greening")</f>
        <v>Urban Forestry &amp; Urban Greening</v>
      </c>
      <c r="C3019" s="1" t="s">
        <v>10</v>
      </c>
      <c r="D3019" s="1">
        <v>3870</v>
      </c>
      <c r="E3019" s="1">
        <v>3620</v>
      </c>
      <c r="F3019" s="1">
        <v>3100</v>
      </c>
      <c r="G3019" s="1">
        <v>480000</v>
      </c>
    </row>
    <row r="3020" spans="1:7" x14ac:dyDescent="0.25">
      <c r="A3020" s="1" t="s">
        <v>3236</v>
      </c>
      <c r="B3020" s="2" t="str">
        <f>HYPERLINK("https://www.elsevier.com/locate/issn/2664-3286", "Urban Governance")</f>
        <v>Urban Governance</v>
      </c>
      <c r="C3020" s="1" t="s">
        <v>23</v>
      </c>
      <c r="D3020" s="1">
        <v>1500</v>
      </c>
      <c r="E3020" s="1">
        <v>1400</v>
      </c>
      <c r="F3020" s="1">
        <v>1200</v>
      </c>
      <c r="G3020" s="1">
        <v>186050</v>
      </c>
    </row>
    <row r="3021" spans="1:7" x14ac:dyDescent="0.25">
      <c r="A3021" s="1" t="s">
        <v>3237</v>
      </c>
      <c r="B3021" s="2" t="str">
        <f>HYPERLINK("https://www.elsevier.com/locate/issn/3050-6972", "Urban Transitions")</f>
        <v>Urban Transitions</v>
      </c>
      <c r="C3021" s="1" t="s">
        <v>23</v>
      </c>
      <c r="D3021" s="1">
        <v>1500</v>
      </c>
      <c r="E3021" s="1">
        <v>1400</v>
      </c>
      <c r="F3021" s="1">
        <v>1200</v>
      </c>
      <c r="G3021" s="1">
        <v>186050</v>
      </c>
    </row>
    <row r="3022" spans="1:7" x14ac:dyDescent="0.25">
      <c r="A3022" s="1" t="s">
        <v>3238</v>
      </c>
      <c r="B3022" s="2" t="str">
        <f>HYPERLINK("https://www.elsevier.com/locate/issn/2590-2806", "URINE")</f>
        <v>URINE</v>
      </c>
      <c r="C3022" s="1" t="s">
        <v>34</v>
      </c>
      <c r="D3022" s="1">
        <v>700</v>
      </c>
      <c r="E3022" s="1">
        <v>650</v>
      </c>
      <c r="F3022" s="1">
        <v>560</v>
      </c>
      <c r="G3022" s="1">
        <v>86820</v>
      </c>
    </row>
    <row r="3023" spans="1:7" x14ac:dyDescent="0.25">
      <c r="A3023" s="1" t="s">
        <v>3239</v>
      </c>
      <c r="B3023" s="2" t="str">
        <f>HYPERLINK("https://www.elsevier.com/locate/issn/1078-1439", "Urologic Oncology: Seminars and Original Investigations")</f>
        <v>Urologic Oncology: Seminars and Original Investigations</v>
      </c>
      <c r="C3023" s="1" t="s">
        <v>10</v>
      </c>
      <c r="D3023" s="1">
        <v>3440</v>
      </c>
      <c r="E3023" s="1">
        <v>3220</v>
      </c>
      <c r="F3023" s="1">
        <v>2750</v>
      </c>
      <c r="G3023" s="1">
        <v>426660</v>
      </c>
    </row>
    <row r="3024" spans="1:7" x14ac:dyDescent="0.25">
      <c r="A3024" s="1" t="s">
        <v>3240</v>
      </c>
      <c r="B3024" s="2" t="str">
        <f>HYPERLINK("https://www.elsevier.com/locate/issn/0090-4295", "Urology")</f>
        <v>Urology</v>
      </c>
      <c r="C3024" s="1" t="s">
        <v>10</v>
      </c>
      <c r="D3024" s="1">
        <v>3200</v>
      </c>
      <c r="E3024" s="1">
        <v>2990</v>
      </c>
      <c r="F3024" s="1">
        <v>2560</v>
      </c>
      <c r="G3024" s="1">
        <v>396900</v>
      </c>
    </row>
    <row r="3025" spans="1:7" x14ac:dyDescent="0.25">
      <c r="A3025" s="1" t="s">
        <v>3241</v>
      </c>
      <c r="B3025" s="2" t="str">
        <f>HYPERLINK("https://www.elsevier.com/locate/issn/2214-4420", "Urology Case Reports")</f>
        <v>Urology Case Reports</v>
      </c>
      <c r="C3025" s="1" t="s">
        <v>23</v>
      </c>
      <c r="D3025" s="1">
        <v>1160</v>
      </c>
      <c r="E3025" s="1">
        <v>1090</v>
      </c>
      <c r="F3025" s="1">
        <v>930</v>
      </c>
      <c r="G3025" s="1">
        <v>143870</v>
      </c>
    </row>
    <row r="3026" spans="1:7" x14ac:dyDescent="0.25">
      <c r="A3026" s="1" t="s">
        <v>3242</v>
      </c>
      <c r="B3026" s="2" t="str">
        <f>HYPERLINK("https://www.elsevier.com/locate/issn/2590-0897", "Urology Video Journal")</f>
        <v>Urology Video Journal</v>
      </c>
      <c r="C3026" s="1" t="s">
        <v>23</v>
      </c>
      <c r="D3026" s="1">
        <v>800</v>
      </c>
      <c r="E3026" s="1">
        <v>750</v>
      </c>
      <c r="F3026" s="1">
        <v>640</v>
      </c>
      <c r="G3026" s="1">
        <v>99220</v>
      </c>
    </row>
    <row r="3027" spans="1:7" x14ac:dyDescent="0.25">
      <c r="A3027" s="1" t="s">
        <v>3243</v>
      </c>
      <c r="B3027" s="2" t="str">
        <f>HYPERLINK("https://www.elsevier.com/locate/issn/0957-1787", "Utilities Policy")</f>
        <v>Utilities Policy</v>
      </c>
      <c r="C3027" s="1" t="s">
        <v>10</v>
      </c>
      <c r="D3027" s="1">
        <v>2950</v>
      </c>
      <c r="E3027" s="1">
        <v>2760</v>
      </c>
      <c r="F3027" s="1">
        <v>2360</v>
      </c>
      <c r="G3027" s="1">
        <v>365890</v>
      </c>
    </row>
    <row r="3028" spans="1:7" x14ac:dyDescent="0.25">
      <c r="A3028" s="1" t="s">
        <v>3244</v>
      </c>
      <c r="B3028" s="2" t="str">
        <f>HYPERLINK("https://www.elsevier.com/locate/issn/0264-410X", "Vaccine")</f>
        <v>Vaccine</v>
      </c>
      <c r="C3028" s="1" t="s">
        <v>10</v>
      </c>
      <c r="D3028" s="1">
        <v>3620</v>
      </c>
      <c r="E3028" s="1">
        <v>3390</v>
      </c>
      <c r="F3028" s="1">
        <v>2900</v>
      </c>
      <c r="G3028" s="1">
        <v>448990</v>
      </c>
    </row>
    <row r="3029" spans="1:7" x14ac:dyDescent="0.25">
      <c r="A3029" s="1" t="s">
        <v>3245</v>
      </c>
      <c r="B3029" s="2" t="str">
        <f>HYPERLINK("https://www.elsevier.com/locate/issn/2590-1362", "Vaccine: X")</f>
        <v>Vaccine: X</v>
      </c>
      <c r="C3029" s="1" t="s">
        <v>23</v>
      </c>
      <c r="D3029" s="1">
        <v>2440</v>
      </c>
      <c r="E3029" s="1">
        <v>2280</v>
      </c>
      <c r="F3029" s="1">
        <v>1950</v>
      </c>
      <c r="G3029" s="1">
        <v>302630</v>
      </c>
    </row>
    <row r="3030" spans="1:7" x14ac:dyDescent="0.25">
      <c r="A3030" s="1" t="s">
        <v>3246</v>
      </c>
      <c r="B3030" s="2" t="str">
        <f>HYPERLINK("https://www.elsevier.com/locate/issn/1576-9887", "Vacunas")</f>
        <v>Vacunas</v>
      </c>
      <c r="C3030" s="1" t="s">
        <v>10</v>
      </c>
      <c r="D3030" s="1">
        <v>2960</v>
      </c>
      <c r="E3030" s="1">
        <v>2700</v>
      </c>
      <c r="F3030" s="1">
        <v>2370</v>
      </c>
      <c r="G3030" s="1">
        <v>367130</v>
      </c>
    </row>
    <row r="3031" spans="1:7" x14ac:dyDescent="0.25">
      <c r="A3031" s="1" t="s">
        <v>3247</v>
      </c>
      <c r="B3031" s="2" t="str">
        <f>HYPERLINK("https://www.elsevier.com/locate/issn/2445-1460", "Vacunas (English Edition)")</f>
        <v>Vacunas (English Edition)</v>
      </c>
      <c r="C3031" s="1" t="s">
        <v>10</v>
      </c>
      <c r="D3031" s="1">
        <v>2890</v>
      </c>
      <c r="E3031" s="1">
        <v>2700</v>
      </c>
      <c r="F3031" s="1">
        <v>2310</v>
      </c>
      <c r="G3031" s="1">
        <v>357990</v>
      </c>
    </row>
    <row r="3032" spans="1:7" x14ac:dyDescent="0.25">
      <c r="A3032" s="1" t="s">
        <v>3248</v>
      </c>
      <c r="B3032" s="2" t="str">
        <f>HYPERLINK("https://www.elsevier.com/locate/issn/0042-207X", "Vacuum")</f>
        <v>Vacuum</v>
      </c>
      <c r="C3032" s="1" t="s">
        <v>10</v>
      </c>
      <c r="D3032" s="1">
        <v>2860</v>
      </c>
      <c r="E3032" s="1">
        <v>2680</v>
      </c>
      <c r="F3032" s="1">
        <v>2290</v>
      </c>
      <c r="G3032" s="1">
        <v>354730</v>
      </c>
    </row>
    <row r="3033" spans="1:7" x14ac:dyDescent="0.25">
      <c r="A3033" s="1" t="s">
        <v>3249</v>
      </c>
      <c r="B3033" s="2" t="str">
        <f>HYPERLINK("https://www.elsevier.com/locate/issn/1098-3015", "Value in Health")</f>
        <v>Value in Health</v>
      </c>
      <c r="C3033" s="1" t="s">
        <v>10</v>
      </c>
      <c r="D3033" s="1">
        <v>4000</v>
      </c>
      <c r="E3033" s="1">
        <v>3740</v>
      </c>
      <c r="F3033" s="1">
        <v>3200</v>
      </c>
      <c r="G3033" s="1">
        <v>496120</v>
      </c>
    </row>
    <row r="3034" spans="1:7" x14ac:dyDescent="0.25">
      <c r="A3034" s="1" t="s">
        <v>3250</v>
      </c>
      <c r="B3034" s="2" t="str">
        <f>HYPERLINK("https://www.elsevier.com/locate/issn/2212-1099", "Value in Health Regional Issues")</f>
        <v>Value in Health Regional Issues</v>
      </c>
      <c r="C3034" s="1" t="s">
        <v>23</v>
      </c>
      <c r="D3034" s="1">
        <v>3050</v>
      </c>
      <c r="E3034" s="1">
        <v>2850</v>
      </c>
      <c r="F3034" s="1">
        <v>2440</v>
      </c>
      <c r="G3034" s="1">
        <v>378290</v>
      </c>
    </row>
    <row r="3035" spans="1:7" x14ac:dyDescent="0.25">
      <c r="A3035" s="1" t="s">
        <v>3251</v>
      </c>
      <c r="B3035" s="2" t="str">
        <f>HYPERLINK("https://www.elsevier.com/locate/issn/3050-6581", "Vascular Diseases")</f>
        <v>Vascular Diseases</v>
      </c>
      <c r="C3035" s="1" t="s">
        <v>10</v>
      </c>
      <c r="D3035" s="1">
        <v>2660</v>
      </c>
      <c r="E3035" s="1">
        <v>2430</v>
      </c>
      <c r="F3035" s="1">
        <v>2130</v>
      </c>
      <c r="G3035" s="1">
        <v>329920</v>
      </c>
    </row>
    <row r="3036" spans="1:7" x14ac:dyDescent="0.25">
      <c r="A3036" s="1" t="s">
        <v>3252</v>
      </c>
      <c r="B3036" s="2" t="str">
        <f>HYPERLINK("https://www.elsevier.com/locate/issn/1537-1891", "Vascular Pharmacology")</f>
        <v>Vascular Pharmacology</v>
      </c>
      <c r="C3036" s="1" t="s">
        <v>10</v>
      </c>
      <c r="D3036" s="1">
        <v>3670</v>
      </c>
      <c r="E3036" s="1">
        <v>3430</v>
      </c>
      <c r="F3036" s="1">
        <v>2940</v>
      </c>
      <c r="G3036" s="1">
        <v>455190</v>
      </c>
    </row>
    <row r="3037" spans="1:7" x14ac:dyDescent="0.25">
      <c r="A3037" s="1" t="s">
        <v>3253</v>
      </c>
      <c r="B3037" s="2" t="str">
        <f>HYPERLINK("https://www.elsevier.com/locate/issn/2214-2096", "Vehicular Communications")</f>
        <v>Vehicular Communications</v>
      </c>
      <c r="C3037" s="1" t="s">
        <v>10</v>
      </c>
      <c r="D3037" s="1">
        <v>2890</v>
      </c>
      <c r="E3037" s="1">
        <v>2700</v>
      </c>
      <c r="F3037" s="1">
        <v>2310</v>
      </c>
      <c r="G3037" s="1">
        <v>358450</v>
      </c>
    </row>
    <row r="3038" spans="1:7" x14ac:dyDescent="0.25">
      <c r="A3038" s="1" t="s">
        <v>3254</v>
      </c>
      <c r="B3038" s="2" t="str">
        <f>HYPERLINK("https://www.elsevier.com/locate/issn/1467-2987", "Veterinary Anaesthesia and Analgesia")</f>
        <v>Veterinary Anaesthesia and Analgesia</v>
      </c>
      <c r="C3038" s="1" t="s">
        <v>10</v>
      </c>
      <c r="D3038" s="1">
        <v>3000</v>
      </c>
      <c r="E3038" s="1">
        <v>2810</v>
      </c>
      <c r="F3038" s="1">
        <v>2400</v>
      </c>
      <c r="G3038" s="1">
        <v>372090</v>
      </c>
    </row>
    <row r="3039" spans="1:7" x14ac:dyDescent="0.25">
      <c r="A3039" s="1" t="s">
        <v>3255</v>
      </c>
      <c r="B3039" s="2" t="str">
        <f>HYPERLINK("https://www.elsevier.com/locate/issn/2451-943X", "Veterinary and Animal Science")</f>
        <v>Veterinary and Animal Science</v>
      </c>
      <c r="C3039" s="1" t="s">
        <v>23</v>
      </c>
      <c r="D3039" s="1">
        <v>2780</v>
      </c>
      <c r="E3039" s="1">
        <v>2600</v>
      </c>
      <c r="F3039" s="1">
        <v>2230</v>
      </c>
      <c r="G3039" s="1">
        <v>344800</v>
      </c>
    </row>
    <row r="3040" spans="1:7" x14ac:dyDescent="0.25">
      <c r="A3040" s="1" t="s">
        <v>3256</v>
      </c>
      <c r="B3040" s="2" t="str">
        <f>HYPERLINK("https://www.elsevier.com/locate/issn/0165-2427", "Veterinary Immunology and Immunopathology")</f>
        <v>Veterinary Immunology and Immunopathology</v>
      </c>
      <c r="C3040" s="1" t="s">
        <v>10</v>
      </c>
      <c r="D3040" s="1">
        <v>3250</v>
      </c>
      <c r="E3040" s="1">
        <v>3040</v>
      </c>
      <c r="F3040" s="1">
        <v>2600</v>
      </c>
      <c r="G3040" s="1">
        <v>403100</v>
      </c>
    </row>
    <row r="3041" spans="1:7" x14ac:dyDescent="0.25">
      <c r="A3041" s="1" t="s">
        <v>3257</v>
      </c>
      <c r="B3041" s="2" t="str">
        <f>HYPERLINK("https://www.elsevier.com/locate/issn/0378-1135", "Veterinary Microbiology")</f>
        <v>Veterinary Microbiology</v>
      </c>
      <c r="C3041" s="1" t="s">
        <v>10</v>
      </c>
      <c r="D3041" s="1">
        <v>3110</v>
      </c>
      <c r="E3041" s="1">
        <v>2910</v>
      </c>
      <c r="F3041" s="1">
        <v>2490</v>
      </c>
      <c r="G3041" s="1">
        <v>385730</v>
      </c>
    </row>
    <row r="3042" spans="1:7" x14ac:dyDescent="0.25">
      <c r="A3042" s="1" t="s">
        <v>3258</v>
      </c>
      <c r="B3042" s="2" t="str">
        <f>HYPERLINK("https://www.elsevier.com/locate/issn/0304-4017", "Veterinary Parasitology")</f>
        <v>Veterinary Parasitology</v>
      </c>
      <c r="C3042" s="1" t="s">
        <v>10</v>
      </c>
      <c r="D3042" s="1">
        <v>3680</v>
      </c>
      <c r="E3042" s="1">
        <v>3440</v>
      </c>
      <c r="F3042" s="1">
        <v>2950</v>
      </c>
      <c r="G3042" s="1">
        <v>456430</v>
      </c>
    </row>
    <row r="3043" spans="1:7" x14ac:dyDescent="0.25">
      <c r="A3043" s="1" t="s">
        <v>3259</v>
      </c>
      <c r="B3043" s="2" t="str">
        <f>HYPERLINK("https://www.elsevier.com/locate/issn/2405-9390", "Veterinary Parasitology: Regional Studies and Reports")</f>
        <v>Veterinary Parasitology: Regional Studies and Reports</v>
      </c>
      <c r="C3043" s="1" t="s">
        <v>10</v>
      </c>
      <c r="D3043" s="1">
        <v>2970</v>
      </c>
      <c r="E3043" s="1">
        <v>2980</v>
      </c>
      <c r="F3043" s="1">
        <v>2550</v>
      </c>
      <c r="G3043" s="1">
        <v>395660</v>
      </c>
    </row>
    <row r="3044" spans="1:7" x14ac:dyDescent="0.25">
      <c r="A3044" s="1" t="s">
        <v>3260</v>
      </c>
      <c r="B3044" s="2" t="str">
        <f>HYPERLINK("https://www.elsevier.com/locate/issn/2772-5359", "Veterinary Vaccine")</f>
        <v>Veterinary Vaccine</v>
      </c>
      <c r="C3044" s="1" t="s">
        <v>23</v>
      </c>
      <c r="D3044" s="1">
        <v>1500</v>
      </c>
      <c r="E3044" s="1">
        <v>1400</v>
      </c>
      <c r="F3044" s="1">
        <v>1200</v>
      </c>
      <c r="G3044" s="1">
        <v>186050</v>
      </c>
    </row>
    <row r="3045" spans="1:7" x14ac:dyDescent="0.25">
      <c r="A3045" s="1" t="s">
        <v>3261</v>
      </c>
      <c r="B3045" s="2" t="str">
        <f>HYPERLINK("https://www.elsevier.com/locate/issn/0924-2031", "Vibrational Spectroscopy")</f>
        <v>Vibrational Spectroscopy</v>
      </c>
      <c r="C3045" s="1" t="s">
        <v>10</v>
      </c>
      <c r="D3045" s="1">
        <v>3760</v>
      </c>
      <c r="E3045" s="1">
        <v>3520</v>
      </c>
      <c r="F3045" s="1">
        <v>3010</v>
      </c>
      <c r="G3045" s="1">
        <v>466350</v>
      </c>
    </row>
    <row r="3046" spans="1:7" x14ac:dyDescent="0.25">
      <c r="A3046" s="1" t="s">
        <v>3262</v>
      </c>
      <c r="B3046" s="2" t="str">
        <f>HYPERLINK("https://www.elsevier.com/locate/issn/2468-4481", "VideoGIE")</f>
        <v>VideoGIE</v>
      </c>
      <c r="C3046" s="1" t="s">
        <v>23</v>
      </c>
      <c r="D3046" s="1">
        <v>1000</v>
      </c>
      <c r="E3046" s="1">
        <v>940</v>
      </c>
      <c r="F3046" s="1">
        <v>800</v>
      </c>
      <c r="G3046" s="1">
        <v>124030</v>
      </c>
    </row>
    <row r="3047" spans="1:7" x14ac:dyDescent="0.25">
      <c r="A3047" s="1" t="s">
        <v>3263</v>
      </c>
      <c r="B3047" s="2" t="str">
        <f>HYPERLINK("https://www.elsevier.com/locate/issn/1995-820X", "Virologica Sinica")</f>
        <v>Virologica Sinica</v>
      </c>
      <c r="C3047" s="1" t="s">
        <v>34</v>
      </c>
      <c r="D3047" s="1" t="s">
        <v>324</v>
      </c>
      <c r="E3047" s="1" t="s">
        <v>324</v>
      </c>
      <c r="F3047" s="1" t="s">
        <v>324</v>
      </c>
      <c r="G3047" s="1" t="s">
        <v>324</v>
      </c>
    </row>
    <row r="3048" spans="1:7" x14ac:dyDescent="0.25">
      <c r="A3048" s="1" t="s">
        <v>3264</v>
      </c>
      <c r="B3048" s="2" t="str">
        <f>HYPERLINK("https://www.elsevier.com/locate/issn/0042-6822", "Virology")</f>
        <v>Virology</v>
      </c>
      <c r="C3048" s="1" t="s">
        <v>10</v>
      </c>
      <c r="D3048" s="1">
        <v>3160</v>
      </c>
      <c r="E3048" s="1">
        <v>2960</v>
      </c>
      <c r="F3048" s="1">
        <v>2530</v>
      </c>
      <c r="G3048" s="1">
        <v>391930</v>
      </c>
    </row>
    <row r="3049" spans="1:7" x14ac:dyDescent="0.25">
      <c r="A3049" s="1" t="s">
        <v>3265</v>
      </c>
      <c r="B3049" s="2" t="str">
        <f>HYPERLINK("https://www.elsevier.com/locate/issn/2096-5796", "Virtual Reality &amp; Intelligent Hardware")</f>
        <v>Virtual Reality &amp; Intelligent Hardware</v>
      </c>
      <c r="C3049" s="1" t="s">
        <v>34</v>
      </c>
      <c r="D3049" s="1" t="s">
        <v>324</v>
      </c>
      <c r="E3049" s="1" t="s">
        <v>324</v>
      </c>
      <c r="F3049" s="1" t="s">
        <v>324</v>
      </c>
      <c r="G3049" s="1" t="s">
        <v>324</v>
      </c>
    </row>
    <row r="3050" spans="1:7" x14ac:dyDescent="0.25">
      <c r="A3050" s="1" t="s">
        <v>3266</v>
      </c>
      <c r="B3050" s="2" t="str">
        <f>HYPERLINK("https://www.elsevier.com/locate/issn/0168-1702", "Virus Research")</f>
        <v>Virus Research</v>
      </c>
      <c r="C3050" s="1" t="s">
        <v>23</v>
      </c>
      <c r="D3050" s="1">
        <v>3010</v>
      </c>
      <c r="E3050" s="1">
        <v>2820</v>
      </c>
      <c r="F3050" s="1">
        <v>2410</v>
      </c>
      <c r="G3050" s="1">
        <v>373330</v>
      </c>
    </row>
    <row r="3051" spans="1:7" x14ac:dyDescent="0.25">
      <c r="A3051" s="1" t="s">
        <v>3267</v>
      </c>
      <c r="B3051" s="2" t="str">
        <f>HYPERLINK("https://www.elsevier.com/locate/issn/0042-6989", "Vision Research")</f>
        <v>Vision Research</v>
      </c>
      <c r="C3051" s="1" t="s">
        <v>10</v>
      </c>
      <c r="D3051" s="1">
        <v>2940</v>
      </c>
      <c r="E3051" s="1">
        <v>2750</v>
      </c>
      <c r="F3051" s="1">
        <v>2350</v>
      </c>
      <c r="G3051" s="1">
        <v>364650</v>
      </c>
    </row>
    <row r="3052" spans="1:7" x14ac:dyDescent="0.25">
      <c r="A3052" s="1" t="s">
        <v>3268</v>
      </c>
      <c r="B3052" s="2" t="str">
        <f>HYPERLINK("https://www.elsevier.com/locate/issn/2468-502X", "Visual Informatics")</f>
        <v>Visual Informatics</v>
      </c>
      <c r="C3052" s="1" t="s">
        <v>34</v>
      </c>
      <c r="D3052" s="1" t="s">
        <v>324</v>
      </c>
      <c r="E3052" s="1" t="s">
        <v>324</v>
      </c>
      <c r="F3052" s="1" t="s">
        <v>324</v>
      </c>
      <c r="G3052" s="1" t="s">
        <v>324</v>
      </c>
    </row>
    <row r="3053" spans="1:7" x14ac:dyDescent="0.25">
      <c r="A3053" s="1" t="s">
        <v>3269</v>
      </c>
      <c r="B3053" s="2" t="str">
        <f>HYPERLINK("https://www.elsevier.com/locate/issn/2405-4690", "Visual Journal of Emergency Medicine")</f>
        <v>Visual Journal of Emergency Medicine</v>
      </c>
      <c r="C3053" s="1" t="s">
        <v>10</v>
      </c>
      <c r="D3053" s="1">
        <v>1640</v>
      </c>
      <c r="E3053" s="1">
        <v>1530</v>
      </c>
      <c r="F3053" s="1">
        <v>1310</v>
      </c>
      <c r="G3053" s="1">
        <v>203410</v>
      </c>
    </row>
    <row r="3054" spans="1:7" x14ac:dyDescent="0.25">
      <c r="A3054" s="1" t="s">
        <v>3270</v>
      </c>
      <c r="B3054" s="2" t="str">
        <f>HYPERLINK("https://www.elsevier.com/locate/issn/0956-053X", "Waste Management")</f>
        <v>Waste Management</v>
      </c>
      <c r="C3054" s="1" t="s">
        <v>10</v>
      </c>
      <c r="D3054" s="1">
        <v>4450</v>
      </c>
      <c r="E3054" s="1">
        <v>4160</v>
      </c>
      <c r="F3054" s="1">
        <v>3560</v>
      </c>
      <c r="G3054" s="1">
        <v>551930</v>
      </c>
    </row>
    <row r="3055" spans="1:7" x14ac:dyDescent="0.25">
      <c r="A3055" s="1" t="s">
        <v>3271</v>
      </c>
      <c r="B3055" s="2" t="str">
        <f>HYPERLINK("https://www.elsevier.com/locate/issn/2949-7507", "Waste Management Bulletin")</f>
        <v>Waste Management Bulletin</v>
      </c>
      <c r="C3055" s="1" t="s">
        <v>23</v>
      </c>
      <c r="D3055" s="1">
        <v>2050</v>
      </c>
      <c r="E3055" s="1">
        <v>1920</v>
      </c>
      <c r="F3055" s="1">
        <v>1640</v>
      </c>
      <c r="G3055" s="1">
        <v>254260</v>
      </c>
    </row>
    <row r="3056" spans="1:7" x14ac:dyDescent="0.25">
      <c r="A3056" s="1" t="s">
        <v>3272</v>
      </c>
      <c r="B3056" s="2" t="str">
        <f>HYPERLINK("https://www.elsevier.com/locate/issn/3050-4724", "Water &amp; Ecology")</f>
        <v>Water &amp; Ecology</v>
      </c>
      <c r="C3056" s="1" t="s">
        <v>34</v>
      </c>
      <c r="D3056" s="1" t="s">
        <v>324</v>
      </c>
      <c r="E3056" s="1" t="s">
        <v>324</v>
      </c>
      <c r="F3056" s="1" t="s">
        <v>324</v>
      </c>
      <c r="G3056" s="1" t="s">
        <v>324</v>
      </c>
    </row>
    <row r="3057" spans="1:7" x14ac:dyDescent="0.25">
      <c r="A3057" s="1" t="s">
        <v>3273</v>
      </c>
      <c r="B3057" s="2" t="str">
        <f>HYPERLINK("https://www.elsevier.com/locate/issn/2772-7351", "Water Biology and Security")</f>
        <v>Water Biology and Security</v>
      </c>
      <c r="C3057" s="1" t="s">
        <v>34</v>
      </c>
      <c r="D3057" s="1" t="s">
        <v>324</v>
      </c>
      <c r="E3057" s="1" t="s">
        <v>324</v>
      </c>
      <c r="F3057" s="1" t="s">
        <v>324</v>
      </c>
      <c r="G3057" s="1" t="s">
        <v>324</v>
      </c>
    </row>
    <row r="3058" spans="1:7" x14ac:dyDescent="0.25">
      <c r="A3058" s="1" t="s">
        <v>3274</v>
      </c>
      <c r="B3058" s="2" t="str">
        <f>HYPERLINK("https://www.elsevier.com/locate/issn/2666-4453", "Water Cycle")</f>
        <v>Water Cycle</v>
      </c>
      <c r="C3058" s="1" t="s">
        <v>34</v>
      </c>
      <c r="D3058" s="1">
        <v>1100</v>
      </c>
      <c r="E3058" s="1">
        <v>1030</v>
      </c>
      <c r="F3058" s="1">
        <v>880</v>
      </c>
      <c r="G3058" s="1">
        <v>136430</v>
      </c>
    </row>
    <row r="3059" spans="1:7" x14ac:dyDescent="0.25">
      <c r="A3059" s="1" t="s">
        <v>3275</v>
      </c>
      <c r="B3059" s="2" t="str">
        <f>HYPERLINK("https://www.elsevier.com/locate/issn/0043-1354", "Water Research")</f>
        <v>Water Research</v>
      </c>
      <c r="C3059" s="1" t="s">
        <v>10</v>
      </c>
      <c r="D3059" s="1">
        <v>4660</v>
      </c>
      <c r="E3059" s="1">
        <v>4360</v>
      </c>
      <c r="F3059" s="1">
        <v>3730</v>
      </c>
      <c r="G3059" s="1">
        <v>577980</v>
      </c>
    </row>
    <row r="3060" spans="1:7" x14ac:dyDescent="0.25">
      <c r="A3060" s="1" t="s">
        <v>3276</v>
      </c>
      <c r="B3060" s="2" t="str">
        <f>HYPERLINK("https://www.elsevier.com/locate/issn/2589-9147", "Water Research X")</f>
        <v>Water Research X</v>
      </c>
      <c r="C3060" s="1" t="s">
        <v>23</v>
      </c>
      <c r="D3060" s="1">
        <v>3200</v>
      </c>
      <c r="E3060" s="1">
        <v>2990</v>
      </c>
      <c r="F3060" s="1">
        <v>2560</v>
      </c>
      <c r="G3060" s="1">
        <v>396900</v>
      </c>
    </row>
    <row r="3061" spans="1:7" x14ac:dyDescent="0.25">
      <c r="A3061" s="1" t="s">
        <v>3277</v>
      </c>
      <c r="B3061" s="2" t="str">
        <f>HYPERLINK("https://www.elsevier.com/locate/issn/2212-4284", "Water Resources and Economics")</f>
        <v>Water Resources and Economics</v>
      </c>
      <c r="C3061" s="1" t="s">
        <v>10</v>
      </c>
      <c r="D3061" s="1">
        <v>3080</v>
      </c>
      <c r="E3061" s="1">
        <v>2880</v>
      </c>
      <c r="F3061" s="1">
        <v>2470</v>
      </c>
      <c r="G3061" s="1">
        <v>382010</v>
      </c>
    </row>
    <row r="3062" spans="1:7" x14ac:dyDescent="0.25">
      <c r="A3062" s="1" t="s">
        <v>3278</v>
      </c>
      <c r="B3062" s="2" t="str">
        <f>HYPERLINK("https://www.elsevier.com/locate/issn/2212-3717", "Water Resources and Industry")</f>
        <v>Water Resources and Industry</v>
      </c>
      <c r="C3062" s="1" t="s">
        <v>23</v>
      </c>
      <c r="D3062" s="1">
        <v>2930</v>
      </c>
      <c r="E3062" s="1">
        <v>2740</v>
      </c>
      <c r="F3062" s="1">
        <v>2350</v>
      </c>
      <c r="G3062" s="1">
        <v>363410</v>
      </c>
    </row>
    <row r="3063" spans="1:7" x14ac:dyDescent="0.25">
      <c r="A3063" s="1" t="s">
        <v>3279</v>
      </c>
      <c r="B3063" s="2" t="str">
        <f>HYPERLINK("https://www.elsevier.com/locate/issn/1674-2370", "Water Science and Engineering")</f>
        <v>Water Science and Engineering</v>
      </c>
      <c r="C3063" s="1" t="s">
        <v>34</v>
      </c>
      <c r="D3063" s="1" t="s">
        <v>324</v>
      </c>
      <c r="E3063" s="1" t="s">
        <v>324</v>
      </c>
      <c r="F3063" s="1" t="s">
        <v>324</v>
      </c>
      <c r="G3063" s="1" t="s">
        <v>324</v>
      </c>
    </row>
    <row r="3064" spans="1:7" x14ac:dyDescent="0.25">
      <c r="A3064" s="1" t="s">
        <v>3280</v>
      </c>
      <c r="B3064" s="2" t="str">
        <f>HYPERLINK("https://www.elsevier.com/locate/issn/2468-3124", "Water Security")</f>
        <v>Water Security</v>
      </c>
      <c r="C3064" s="1" t="s">
        <v>10</v>
      </c>
      <c r="D3064" s="1">
        <v>2870</v>
      </c>
      <c r="E3064" s="1">
        <v>2680</v>
      </c>
      <c r="F3064" s="1">
        <v>2300</v>
      </c>
      <c r="G3064" s="1">
        <v>355970</v>
      </c>
    </row>
    <row r="3065" spans="1:7" x14ac:dyDescent="0.25">
      <c r="A3065" s="1" t="s">
        <v>3281</v>
      </c>
      <c r="B3065" s="2" t="str">
        <f>HYPERLINK("https://www.elsevier.com/locate/issn/2588-9125", "Water-Energy Nexus")</f>
        <v>Water-Energy Nexus</v>
      </c>
      <c r="C3065" s="1" t="s">
        <v>34</v>
      </c>
      <c r="D3065" s="1">
        <v>900</v>
      </c>
      <c r="E3065" s="1">
        <v>840</v>
      </c>
      <c r="F3065" s="1">
        <v>720</v>
      </c>
      <c r="G3065" s="1">
        <v>111630</v>
      </c>
    </row>
    <row r="3066" spans="1:7" x14ac:dyDescent="0.25">
      <c r="A3066" s="1" t="s">
        <v>3282</v>
      </c>
      <c r="B3066" s="2" t="str">
        <f>HYPERLINK("https://www.elsevier.com/locate/issn/2589-4714", "Watershed Ecology and the Environment")</f>
        <v>Watershed Ecology and the Environment</v>
      </c>
      <c r="C3066" s="1" t="s">
        <v>34</v>
      </c>
      <c r="D3066" s="1">
        <v>700</v>
      </c>
      <c r="E3066" s="1">
        <v>650</v>
      </c>
      <c r="F3066" s="1">
        <v>560</v>
      </c>
      <c r="G3066" s="1">
        <v>86820</v>
      </c>
    </row>
    <row r="3067" spans="1:7" x14ac:dyDescent="0.25">
      <c r="A3067" s="1" t="s">
        <v>3283</v>
      </c>
      <c r="B3067" s="2" t="str">
        <f>HYPERLINK("https://www.elsevier.com/locate/issn/0165-2125", "Wave Motion")</f>
        <v>Wave Motion</v>
      </c>
      <c r="C3067" s="1" t="s">
        <v>10</v>
      </c>
      <c r="D3067" s="1">
        <v>2950</v>
      </c>
      <c r="E3067" s="1">
        <v>2760</v>
      </c>
      <c r="F3067" s="1">
        <v>2360</v>
      </c>
      <c r="G3067" s="1">
        <v>365890</v>
      </c>
    </row>
    <row r="3068" spans="1:7" x14ac:dyDescent="0.25">
      <c r="A3068" s="1" t="s">
        <v>3284</v>
      </c>
      <c r="B3068" s="2" t="str">
        <f>HYPERLINK("https://www.elsevier.com/locate/issn/0043-1648", "Wear")</f>
        <v>Wear</v>
      </c>
      <c r="C3068" s="1" t="s">
        <v>10</v>
      </c>
      <c r="D3068" s="1">
        <v>4370</v>
      </c>
      <c r="E3068" s="1">
        <v>4090</v>
      </c>
      <c r="F3068" s="1">
        <v>3500</v>
      </c>
      <c r="G3068" s="1">
        <v>542010</v>
      </c>
    </row>
    <row r="3069" spans="1:7" x14ac:dyDescent="0.25">
      <c r="A3069" s="1" t="s">
        <v>3285</v>
      </c>
      <c r="B3069" s="2" t="str">
        <f>HYPERLINK("https://www.elsevier.com/locate/issn/2950-2357", "Wearable Electronics")</f>
        <v>Wearable Electronics</v>
      </c>
      <c r="C3069" s="1" t="s">
        <v>34</v>
      </c>
      <c r="D3069" s="1" t="s">
        <v>324</v>
      </c>
      <c r="E3069" s="1" t="s">
        <v>324</v>
      </c>
      <c r="F3069" s="1" t="s">
        <v>324</v>
      </c>
      <c r="G3069" s="1" t="s">
        <v>324</v>
      </c>
    </row>
    <row r="3070" spans="1:7" x14ac:dyDescent="0.25">
      <c r="A3070" s="1" t="s">
        <v>3286</v>
      </c>
      <c r="B3070" s="2" t="str">
        <f>HYPERLINK("https://www.elsevier.com/locate/issn/2212-0947", "Weather and Climate Extremes")</f>
        <v>Weather and Climate Extremes</v>
      </c>
      <c r="C3070" s="1" t="s">
        <v>23</v>
      </c>
      <c r="D3070" s="1">
        <v>3220</v>
      </c>
      <c r="E3070" s="1">
        <v>3010</v>
      </c>
      <c r="F3070" s="1">
        <v>2580</v>
      </c>
      <c r="G3070" s="1">
        <v>399380</v>
      </c>
    </row>
    <row r="3071" spans="1:7" x14ac:dyDescent="0.25">
      <c r="A3071" s="1" t="s">
        <v>3287</v>
      </c>
      <c r="B3071" s="2" t="str">
        <f>HYPERLINK("https://www.elsevier.com/locate/issn/2949-6683", "WFUMB Ultrasound Open")</f>
        <v>WFUMB Ultrasound Open</v>
      </c>
      <c r="C3071" s="1" t="s">
        <v>23</v>
      </c>
      <c r="D3071" s="1">
        <v>1750</v>
      </c>
      <c r="E3071" s="1">
        <v>1640</v>
      </c>
      <c r="F3071" s="1">
        <v>1400</v>
      </c>
      <c r="G3071" s="1">
        <v>217050</v>
      </c>
    </row>
    <row r="3072" spans="1:7" x14ac:dyDescent="0.25">
      <c r="A3072" s="1" t="s">
        <v>3288</v>
      </c>
      <c r="B3072" s="2" t="str">
        <f>HYPERLINK("https://www.elsevier.com/locate/issn/2950-3604", "Wind Energy and Engineering Research")</f>
        <v>Wind Energy and Engineering Research</v>
      </c>
      <c r="C3072" s="1" t="s">
        <v>23</v>
      </c>
      <c r="D3072" s="1">
        <v>1950</v>
      </c>
      <c r="E3072" s="1">
        <v>1820</v>
      </c>
      <c r="F3072" s="1">
        <v>1560</v>
      </c>
      <c r="G3072" s="1">
        <v>241860</v>
      </c>
    </row>
    <row r="3073" spans="1:7" x14ac:dyDescent="0.25">
      <c r="A3073" s="1" t="s">
        <v>3289</v>
      </c>
      <c r="B3073" s="2" t="str">
        <f>HYPERLINK("https://www.elsevier.com/locate/issn/1871-5192", "Women and Birth")</f>
        <v>Women and Birth</v>
      </c>
      <c r="C3073" s="1" t="s">
        <v>10</v>
      </c>
      <c r="D3073" s="1">
        <v>3130</v>
      </c>
      <c r="E3073" s="1">
        <v>2930</v>
      </c>
      <c r="F3073" s="1">
        <v>2510</v>
      </c>
      <c r="G3073" s="1">
        <v>388210</v>
      </c>
    </row>
    <row r="3074" spans="1:7" x14ac:dyDescent="0.25">
      <c r="A3074" s="1" t="s">
        <v>3290</v>
      </c>
      <c r="B3074" s="2" t="str">
        <f>HYPERLINK("https://www.elsevier.com/locate/issn/2949-7515", "Women and Children Nursing")</f>
        <v>Women and Children Nursing</v>
      </c>
      <c r="C3074" s="1" t="s">
        <v>34</v>
      </c>
      <c r="D3074" s="1" t="s">
        <v>324</v>
      </c>
      <c r="E3074" s="1" t="s">
        <v>324</v>
      </c>
      <c r="F3074" s="1" t="s">
        <v>324</v>
      </c>
      <c r="G3074" s="1" t="s">
        <v>324</v>
      </c>
    </row>
    <row r="3075" spans="1:7" x14ac:dyDescent="0.25">
      <c r="A3075" s="1" t="s">
        <v>3291</v>
      </c>
      <c r="B3075" s="2" t="str">
        <f>HYPERLINK("https://www.elsevier.com/locate/issn/1049-3867", "Women's Health Issues")</f>
        <v>Women's Health Issues</v>
      </c>
      <c r="C3075" s="1" t="s">
        <v>10</v>
      </c>
      <c r="D3075" s="1">
        <v>3220</v>
      </c>
      <c r="E3075" s="1">
        <v>3010</v>
      </c>
      <c r="F3075" s="1">
        <v>2580</v>
      </c>
      <c r="G3075" s="1">
        <v>399380</v>
      </c>
    </row>
    <row r="3076" spans="1:7" x14ac:dyDescent="0.25">
      <c r="A3076" s="1" t="s">
        <v>3292</v>
      </c>
      <c r="B3076" s="2" t="str">
        <f>HYPERLINK("https://www.elsevier.com/locate/issn/0277-5395", "Women's Studies International Forum")</f>
        <v>Women's Studies International Forum</v>
      </c>
      <c r="C3076" s="1" t="s">
        <v>10</v>
      </c>
      <c r="D3076" s="1">
        <v>2970</v>
      </c>
      <c r="E3076" s="1">
        <v>2780</v>
      </c>
      <c r="F3076" s="1">
        <v>2380</v>
      </c>
      <c r="G3076" s="1">
        <v>368370</v>
      </c>
    </row>
    <row r="3077" spans="1:7" x14ac:dyDescent="0.25">
      <c r="A3077" s="1" t="s">
        <v>3293</v>
      </c>
      <c r="B3077" s="2" t="str">
        <f>HYPERLINK("https://www.elsevier.com/locate/issn/1939-4551", "World Allergy Organization Journal")</f>
        <v>World Allergy Organization Journal</v>
      </c>
      <c r="C3077" s="1" t="s">
        <v>23</v>
      </c>
      <c r="D3077" s="1">
        <v>2840</v>
      </c>
      <c r="E3077" s="1">
        <v>2660</v>
      </c>
      <c r="F3077" s="1">
        <v>2270</v>
      </c>
      <c r="G3077" s="1">
        <v>352250</v>
      </c>
    </row>
    <row r="3078" spans="1:7" x14ac:dyDescent="0.25">
      <c r="A3078" s="1" t="s">
        <v>3294</v>
      </c>
      <c r="B3078" s="2" t="str">
        <f>HYPERLINK("https://www.elsevier.com/locate/issn/0305-750X", "World Development")</f>
        <v>World Development</v>
      </c>
      <c r="C3078" s="1" t="s">
        <v>10</v>
      </c>
      <c r="D3078" s="1">
        <v>4780</v>
      </c>
      <c r="E3078" s="1">
        <v>4470</v>
      </c>
      <c r="F3078" s="1">
        <v>3830</v>
      </c>
      <c r="G3078" s="1">
        <v>592860</v>
      </c>
    </row>
    <row r="3079" spans="1:7" x14ac:dyDescent="0.25">
      <c r="A3079" s="1" t="s">
        <v>3295</v>
      </c>
      <c r="B3079" s="2" t="str">
        <f>HYPERLINK("https://www.elsevier.com/locate/issn/2452-2929", "World Development Perspectives")</f>
        <v>World Development Perspectives</v>
      </c>
      <c r="C3079" s="1" t="s">
        <v>10</v>
      </c>
      <c r="D3079" s="1">
        <v>3350</v>
      </c>
      <c r="E3079" s="1">
        <v>3130</v>
      </c>
      <c r="F3079" s="1">
        <v>2680</v>
      </c>
      <c r="G3079" s="1">
        <v>415500</v>
      </c>
    </row>
    <row r="3080" spans="1:7" x14ac:dyDescent="0.25">
      <c r="A3080" s="1" t="s">
        <v>3296</v>
      </c>
      <c r="B3080" s="2" t="str">
        <f>HYPERLINK("https://www.elsevier.com/locate/issn/1003-5257", "World Journal of Acupuncture - Moxibustion")</f>
        <v>World Journal of Acupuncture - Moxibustion</v>
      </c>
      <c r="C3080" s="1" t="s">
        <v>34</v>
      </c>
      <c r="D3080" s="1" t="s">
        <v>324</v>
      </c>
      <c r="E3080" s="1" t="s">
        <v>324</v>
      </c>
      <c r="F3080" s="1" t="s">
        <v>324</v>
      </c>
      <c r="G3080" s="1" t="s">
        <v>324</v>
      </c>
    </row>
    <row r="3081" spans="1:7" x14ac:dyDescent="0.25">
      <c r="A3081" s="1" t="s">
        <v>3297</v>
      </c>
      <c r="B3081" s="2" t="str">
        <f>HYPERLINK("https://www.elsevier.com/locate/issn/1878-8750", "World Neurosurgery")</f>
        <v>World Neurosurgery</v>
      </c>
      <c r="C3081" s="1" t="s">
        <v>23</v>
      </c>
      <c r="D3081" s="1">
        <v>3200</v>
      </c>
      <c r="E3081" s="1">
        <v>2990</v>
      </c>
      <c r="F3081" s="1">
        <v>2560</v>
      </c>
      <c r="G3081" s="1">
        <v>396900</v>
      </c>
    </row>
    <row r="3082" spans="1:7" x14ac:dyDescent="0.25">
      <c r="A3082" s="1" t="s">
        <v>3298</v>
      </c>
      <c r="B3082" s="2" t="str">
        <f>HYPERLINK("https://www.elsevier.com/locate/issn/2590-1397", "World Neurosurgery: X")</f>
        <v>World Neurosurgery: X</v>
      </c>
      <c r="C3082" s="1" t="s">
        <v>23</v>
      </c>
      <c r="D3082" s="1">
        <v>1930</v>
      </c>
      <c r="E3082" s="1">
        <v>1810</v>
      </c>
      <c r="F3082" s="1">
        <v>1550</v>
      </c>
      <c r="G3082" s="1">
        <v>239380</v>
      </c>
    </row>
    <row r="3083" spans="1:7" x14ac:dyDescent="0.25">
      <c r="A3083" s="1" t="s">
        <v>3299</v>
      </c>
      <c r="B3083" s="2" t="str">
        <f>HYPERLINK("https://www.elsevier.com/locate/issn/0172-2190", "World Patent Information")</f>
        <v>World Patent Information</v>
      </c>
      <c r="C3083" s="1" t="s">
        <v>10</v>
      </c>
      <c r="D3083" s="1">
        <v>2960</v>
      </c>
      <c r="E3083" s="1">
        <v>2770</v>
      </c>
      <c r="F3083" s="1">
        <v>2370</v>
      </c>
      <c r="G3083" s="1">
        <v>367130</v>
      </c>
    </row>
    <row r="3084" spans="1:7" x14ac:dyDescent="0.25">
      <c r="A3084" s="1" t="s">
        <v>3300</v>
      </c>
      <c r="B3084" s="2" t="str">
        <f>HYPERLINK("https://www.elsevier.com/locate/issn/0939-3889", "Zeitschrift für Medizinische Physik")</f>
        <v>Zeitschrift für Medizinische Physik</v>
      </c>
      <c r="C3084" s="1" t="s">
        <v>23</v>
      </c>
      <c r="D3084" s="1">
        <v>2500</v>
      </c>
      <c r="E3084" s="1">
        <v>2340</v>
      </c>
      <c r="F3084" s="1">
        <v>2000</v>
      </c>
      <c r="G3084" s="1">
        <v>310080</v>
      </c>
    </row>
    <row r="3085" spans="1:7" x14ac:dyDescent="0.25">
      <c r="A3085" s="1" t="s">
        <v>3301</v>
      </c>
      <c r="B3085" s="2" t="str">
        <f>HYPERLINK("https://www.elsevier.com/locate/issn/0044-5231", "Zoologischer Anzeiger")</f>
        <v>Zoologischer Anzeiger</v>
      </c>
      <c r="C3085" s="1" t="s">
        <v>10</v>
      </c>
      <c r="D3085" s="1">
        <v>3510</v>
      </c>
      <c r="E3085" s="1">
        <v>3280</v>
      </c>
      <c r="F3085" s="1">
        <v>2810</v>
      </c>
      <c r="G3085" s="1">
        <v>435350</v>
      </c>
    </row>
    <row r="3086" spans="1:7" x14ac:dyDescent="0.25">
      <c r="A3086" s="1" t="s">
        <v>3302</v>
      </c>
      <c r="B3086" s="2" t="str">
        <f>HYPERLINK("https://www.elsevier.com/locate/issn/0944-2006", "Zoology")</f>
        <v>Zoology</v>
      </c>
      <c r="C3086" s="1" t="s">
        <v>10</v>
      </c>
      <c r="D3086" s="1">
        <v>3320</v>
      </c>
      <c r="E3086" s="1">
        <v>3110</v>
      </c>
      <c r="F3086" s="1">
        <v>2660</v>
      </c>
      <c r="G3086" s="1">
        <v>411780</v>
      </c>
    </row>
    <row r="3087" spans="1:7" ht="15.95" customHeight="1" x14ac:dyDescent="0.25"/>
    <row r="3088" spans="1:7" ht="15.95" customHeight="1" x14ac:dyDescent="0.25">
      <c r="A3088" s="3" t="s">
        <v>3303</v>
      </c>
      <c r="B3088" s="3"/>
      <c r="C3088" s="3"/>
      <c r="D3088" s="3"/>
      <c r="E3088" s="3"/>
      <c r="F3088" s="3"/>
      <c r="G3088" s="3"/>
    </row>
    <row r="3089" spans="1:7" ht="15.95" customHeight="1" x14ac:dyDescent="0.25">
      <c r="A3089" s="3" t="s">
        <v>3304</v>
      </c>
      <c r="B3089" s="3"/>
      <c r="C3089" s="3"/>
      <c r="D3089" s="3"/>
      <c r="E3089" s="3"/>
      <c r="F3089" s="3"/>
      <c r="G3089" s="3"/>
    </row>
    <row r="3090" spans="1:7" ht="15.95" customHeight="1" x14ac:dyDescent="0.25">
      <c r="A3090" s="3" t="s">
        <v>3305</v>
      </c>
      <c r="B3090" s="3"/>
      <c r="C3090" s="3"/>
      <c r="D3090" s="3"/>
      <c r="E3090" s="3"/>
      <c r="F3090" s="3"/>
      <c r="G3090" s="3"/>
    </row>
    <row r="3091" spans="1:7" ht="15.95" customHeight="1" x14ac:dyDescent="0.25">
      <c r="A3091" s="3" t="s">
        <v>3306</v>
      </c>
      <c r="B3091" s="3"/>
      <c r="C3091" s="3"/>
      <c r="D3091" s="3"/>
      <c r="E3091" s="3"/>
      <c r="F3091" s="3"/>
      <c r="G3091" s="3"/>
    </row>
    <row r="3092" spans="1:7" ht="15.95" customHeight="1" x14ac:dyDescent="0.25">
      <c r="A3092" s="3" t="s">
        <v>3307</v>
      </c>
      <c r="B3092" s="3"/>
      <c r="C3092" s="3"/>
      <c r="D3092" s="3"/>
      <c r="E3092" s="3"/>
      <c r="F3092" s="3"/>
      <c r="G3092" s="3"/>
    </row>
    <row r="3093" spans="1:7" ht="15.95" customHeight="1" x14ac:dyDescent="0.25">
      <c r="A3093" s="3" t="s">
        <v>3308</v>
      </c>
      <c r="B3093" s="3"/>
      <c r="C3093" s="3"/>
      <c r="D3093" s="3"/>
      <c r="E3093" s="3"/>
      <c r="F3093" s="3"/>
      <c r="G3093" s="3"/>
    </row>
    <row r="3094" spans="1:7" ht="15.95" customHeight="1" x14ac:dyDescent="0.25">
      <c r="A3094" s="3" t="s">
        <v>3309</v>
      </c>
      <c r="B3094" s="3"/>
      <c r="C3094" s="3"/>
      <c r="D3094" s="3"/>
      <c r="E3094" s="3"/>
      <c r="F3094" s="3"/>
      <c r="G3094" s="3"/>
    </row>
    <row r="3095" spans="1:7" ht="15.95" customHeight="1" x14ac:dyDescent="0.25">
      <c r="A3095" s="3" t="s">
        <v>3310</v>
      </c>
      <c r="B3095" s="3"/>
      <c r="C3095" s="3"/>
      <c r="D3095" s="3"/>
      <c r="E3095" s="3"/>
      <c r="F3095" s="3"/>
      <c r="G3095" s="3"/>
    </row>
    <row r="3096" spans="1:7" ht="15.95" customHeight="1" x14ac:dyDescent="0.25">
      <c r="A3096" s="3" t="s">
        <v>3311</v>
      </c>
      <c r="B3096" s="3"/>
      <c r="C3096" s="3"/>
      <c r="D3096" s="3"/>
      <c r="E3096" s="3"/>
      <c r="F3096" s="3"/>
      <c r="G3096" s="3"/>
    </row>
    <row r="3097" spans="1:7" x14ac:dyDescent="0.25">
      <c r="A3097" s="3" t="s">
        <v>3312</v>
      </c>
      <c r="B3097" s="3"/>
      <c r="C3097" s="3"/>
      <c r="D3097" s="3"/>
      <c r="E3097" s="3"/>
      <c r="F3097" s="3"/>
      <c r="G3097" s="3"/>
    </row>
  </sheetData>
  <mergeCells count="12">
    <mergeCell ref="A1:G1"/>
    <mergeCell ref="A2:G2"/>
    <mergeCell ref="A3088:G3088"/>
    <mergeCell ref="A3089:G3089"/>
    <mergeCell ref="A3090:G3090"/>
    <mergeCell ref="A3096:G3096"/>
    <mergeCell ref="A3097:G3097"/>
    <mergeCell ref="A3091:G3091"/>
    <mergeCell ref="A3092:G3092"/>
    <mergeCell ref="A3093:G3093"/>
    <mergeCell ref="A3094:G3094"/>
    <mergeCell ref="A3095:G3095"/>
  </mergeCells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Shah, Nilesh K. (ELS-CHN)</cp:lastModifiedBy>
  <dcterms:created xsi:type="dcterms:W3CDTF">2025-10-16T10:15:56Z</dcterms:created>
  <dcterms:modified xsi:type="dcterms:W3CDTF">2025-10-21T08:17:04Z</dcterms:modified>
</cp:coreProperties>
</file>