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theipsa.sharepoint.com/sites/Year_End_SP/Year End/2021-2022/40 Info for MPs/"/>
    </mc:Choice>
  </mc:AlternateContent>
  <xr:revisionPtr revIDLastSave="4" documentId="8_{BEEF3049-A8FC-42EB-B793-9EDEB389341A}" xr6:coauthVersionLast="47" xr6:coauthVersionMax="47" xr10:uidLastSave="{6A56561A-7544-4905-8F51-D0F85B6979C9}"/>
  <bookViews>
    <workbookView xWindow="28680" yWindow="-600" windowWidth="29040" windowHeight="15840" firstSheet="1" activeTab="3" xr2:uid="{E778CF0A-5692-40E9-B4EF-618E343D817B}"/>
  </bookViews>
  <sheets>
    <sheet name="Controls" sheetId="4" state="hidden" r:id="rId1"/>
    <sheet name="Guidance" sheetId="1" r:id="rId2"/>
    <sheet name="Year End Form - G&amp;S" sheetId="2" r:id="rId3"/>
    <sheet name="Year End Form - Payroll"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2" l="1"/>
  <c r="B43" i="1"/>
  <c r="B23" i="1"/>
  <c r="I24" i="5" l="1"/>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23" i="5"/>
  <c r="I53" i="5" l="1"/>
  <c r="H53" i="5"/>
  <c r="B11" i="2"/>
  <c r="B22" i="1"/>
  <c r="B12" i="1"/>
  <c r="B8" i="5"/>
  <c r="B8" i="2"/>
  <c r="R31" i="1" l="1"/>
  <c r="I55" i="1" l="1"/>
  <c r="I54" i="1"/>
  <c r="G53" i="5"/>
  <c r="S21" i="2" l="1"/>
  <c r="C8" i="4"/>
  <c r="C7" i="4"/>
  <c r="T31" i="1" s="1"/>
  <c r="S31" i="1" s="1"/>
  <c r="S29" i="1"/>
  <c r="R48" i="2" l="1"/>
  <c r="T48" i="2"/>
  <c r="S48" i="2" s="1"/>
  <c r="R49" i="2"/>
  <c r="T49" i="2"/>
  <c r="S49" i="2" s="1"/>
  <c r="R50" i="2"/>
  <c r="T50" i="2"/>
  <c r="S50" i="2" s="1"/>
  <c r="R51" i="2"/>
  <c r="T51" i="2"/>
  <c r="S51" i="2" s="1"/>
  <c r="R52" i="2"/>
  <c r="T52" i="2"/>
  <c r="S52" i="2" s="1"/>
  <c r="R53" i="2"/>
  <c r="T53" i="2"/>
  <c r="S53" i="2" s="1"/>
  <c r="R54" i="2"/>
  <c r="T54" i="2"/>
  <c r="S54" i="2" s="1"/>
  <c r="R55" i="2"/>
  <c r="T55" i="2"/>
  <c r="S55" i="2" s="1"/>
  <c r="R56" i="2"/>
  <c r="T56" i="2"/>
  <c r="S56" i="2" s="1"/>
  <c r="R57" i="2"/>
  <c r="T57" i="2"/>
  <c r="S57" i="2" s="1"/>
  <c r="J40" i="5"/>
  <c r="J41" i="5"/>
  <c r="J42" i="5"/>
  <c r="J43" i="5"/>
  <c r="J44" i="5"/>
  <c r="J45" i="5"/>
  <c r="J46" i="5"/>
  <c r="J47" i="5"/>
  <c r="J48" i="5"/>
  <c r="J49" i="5"/>
  <c r="J25" i="5"/>
  <c r="J26" i="5"/>
  <c r="J27" i="5"/>
  <c r="J28" i="5"/>
  <c r="J29" i="5"/>
  <c r="J30" i="5"/>
  <c r="J31" i="5"/>
  <c r="J32" i="5"/>
  <c r="J33" i="5"/>
  <c r="J34" i="5"/>
  <c r="J35" i="5"/>
  <c r="J36" i="5"/>
  <c r="J37" i="5"/>
  <c r="J38" i="5"/>
  <c r="J39" i="5"/>
  <c r="J50" i="5"/>
  <c r="R36" i="2"/>
  <c r="T36" i="2"/>
  <c r="S36" i="2" s="1"/>
  <c r="R37" i="2"/>
  <c r="T37" i="2"/>
  <c r="S37" i="2" s="1"/>
  <c r="R38" i="2"/>
  <c r="T38" i="2"/>
  <c r="S38" i="2" s="1"/>
  <c r="R39" i="2"/>
  <c r="T39" i="2"/>
  <c r="S39" i="2" s="1"/>
  <c r="R40" i="2"/>
  <c r="T40" i="2"/>
  <c r="S40" i="2" s="1"/>
  <c r="R41" i="2"/>
  <c r="T41" i="2"/>
  <c r="S41" i="2" s="1"/>
  <c r="R42" i="2"/>
  <c r="T42" i="2"/>
  <c r="S42" i="2" s="1"/>
  <c r="R43" i="2"/>
  <c r="T43" i="2"/>
  <c r="S43" i="2" s="1"/>
  <c r="R44" i="2"/>
  <c r="T44" i="2"/>
  <c r="S44" i="2" s="1"/>
  <c r="R29" i="2"/>
  <c r="T29" i="2"/>
  <c r="S29" i="2" s="1"/>
  <c r="R30" i="2"/>
  <c r="T30" i="2"/>
  <c r="S30" i="2" s="1"/>
  <c r="R31" i="2"/>
  <c r="T31" i="2"/>
  <c r="S31" i="2" s="1"/>
  <c r="R32" i="2"/>
  <c r="T32" i="2"/>
  <c r="S32" i="2" s="1"/>
  <c r="R33" i="2"/>
  <c r="T33" i="2"/>
  <c r="S33" i="2" s="1"/>
  <c r="R34" i="2"/>
  <c r="T34" i="2"/>
  <c r="S34" i="2" s="1"/>
  <c r="R35" i="2"/>
  <c r="T35" i="2"/>
  <c r="S35" i="2" s="1"/>
  <c r="R45" i="2"/>
  <c r="T45" i="2"/>
  <c r="S45" i="2" s="1"/>
  <c r="R46" i="2"/>
  <c r="T46" i="2"/>
  <c r="S46" i="2" s="1"/>
  <c r="R47" i="2"/>
  <c r="T47" i="2"/>
  <c r="S47" i="2" s="1"/>
  <c r="R58" i="2"/>
  <c r="T58" i="2"/>
  <c r="S58" i="2" s="1"/>
  <c r="T63" i="2"/>
  <c r="S63" i="2"/>
  <c r="R26" i="2"/>
  <c r="T26" i="2"/>
  <c r="S26" i="2" s="1"/>
  <c r="R27" i="2"/>
  <c r="T27" i="2"/>
  <c r="S27" i="2" s="1"/>
  <c r="R28" i="2"/>
  <c r="T28" i="2"/>
  <c r="S28" i="2" s="1"/>
  <c r="R59" i="2"/>
  <c r="T59" i="2"/>
  <c r="S59" i="2" s="1"/>
  <c r="T61" i="2"/>
  <c r="S61" i="2" s="1"/>
  <c r="T60" i="2"/>
  <c r="S60" i="2" s="1"/>
  <c r="T25" i="2"/>
  <c r="S25" i="2" s="1"/>
  <c r="T24" i="2"/>
  <c r="S24" i="2" s="1"/>
  <c r="T23" i="2"/>
  <c r="S23" i="2" s="1"/>
  <c r="T34" i="1"/>
  <c r="T30" i="1"/>
  <c r="R61" i="2"/>
  <c r="R60" i="2"/>
  <c r="R25" i="2"/>
  <c r="R24" i="2"/>
  <c r="R23" i="2"/>
  <c r="R22" i="2"/>
  <c r="T22" i="2" s="1"/>
  <c r="S22" i="2" s="1"/>
  <c r="S62" i="2" s="1"/>
  <c r="T62" i="2" l="1"/>
  <c r="J24" i="5"/>
  <c r="J23" i="5"/>
  <c r="J51" i="5"/>
  <c r="J52" i="5"/>
  <c r="H55" i="1"/>
  <c r="J55" i="1" s="1"/>
  <c r="H54" i="1"/>
  <c r="C13" i="4"/>
  <c r="S34" i="1"/>
  <c r="S30" i="1"/>
  <c r="R32" i="1"/>
  <c r="T32" i="1" s="1"/>
  <c r="S32" i="1" s="1"/>
  <c r="R33" i="1"/>
  <c r="T33" i="1" s="1"/>
  <c r="R34" i="1"/>
  <c r="R35" i="1"/>
  <c r="T35" i="1" s="1"/>
  <c r="S35" i="1" s="1"/>
  <c r="R36" i="1"/>
  <c r="T36" i="1" s="1"/>
  <c r="S36" i="1" s="1"/>
  <c r="R30" i="1"/>
  <c r="J53" i="5" l="1"/>
  <c r="B45" i="1"/>
  <c r="B7" i="2"/>
  <c r="B7" i="5"/>
  <c r="B67" i="2"/>
  <c r="B6" i="1"/>
  <c r="B57" i="5"/>
  <c r="B62" i="5"/>
  <c r="B72" i="2"/>
  <c r="B12" i="5"/>
  <c r="S33" i="1"/>
  <c r="J54" i="1"/>
  <c r="K5" i="4"/>
  <c r="C5" i="4"/>
  <c r="B14" i="2" l="1"/>
  <c r="B25" i="1"/>
  <c r="B53" i="1"/>
  <c r="K6" i="4"/>
  <c r="B22" i="5"/>
  <c r="T21" i="2"/>
  <c r="T29" i="1"/>
  <c r="C9" i="4"/>
  <c r="C10" i="4"/>
  <c r="B10" i="5" l="1"/>
  <c r="B13" i="2"/>
  <c r="B24" i="1"/>
  <c r="B46" i="1"/>
  <c r="B44" i="1"/>
  <c r="B48" i="1"/>
  <c r="B15" i="5"/>
  <c r="B11" i="5"/>
  <c r="B14" i="5"/>
  <c r="B47" i="1"/>
</calcChain>
</file>

<file path=xl/sharedStrings.xml><?xml version="1.0" encoding="utf-8"?>
<sst xmlns="http://schemas.openxmlformats.org/spreadsheetml/2006/main" count="321" uniqueCount="210">
  <si>
    <t>Controls</t>
  </si>
  <si>
    <t>Reporting Financial Year</t>
  </si>
  <si>
    <t>Expenditure/income</t>
  </si>
  <si>
    <t>Source</t>
  </si>
  <si>
    <t>Account code</t>
  </si>
  <si>
    <t>Expense category</t>
  </si>
  <si>
    <t>Budget code</t>
  </si>
  <si>
    <t>Budget</t>
  </si>
  <si>
    <t>Request</t>
  </si>
  <si>
    <t>Good/service</t>
  </si>
  <si>
    <t>Actual/estimate</t>
  </si>
  <si>
    <t>Payroll costs</t>
  </si>
  <si>
    <t>New Financial Year</t>
  </si>
  <si>
    <t>Expenditure</t>
  </si>
  <si>
    <t>Reimbursement claim</t>
  </si>
  <si>
    <t>Advertising and contact cards</t>
  </si>
  <si>
    <t>ACC</t>
  </si>
  <si>
    <t>Accommodation</t>
  </si>
  <si>
    <t>Goods</t>
  </si>
  <si>
    <t>Actual</t>
  </si>
  <si>
    <t>Additional hours (not overtime)</t>
  </si>
  <si>
    <t>Income</t>
  </si>
  <si>
    <t>IPSA payment card</t>
  </si>
  <si>
    <t>Air travel</t>
  </si>
  <si>
    <t>ACCHO</t>
  </si>
  <si>
    <t>Accommodation Hotel</t>
  </si>
  <si>
    <t>Services</t>
  </si>
  <si>
    <t>Estimate</t>
  </si>
  <si>
    <t>Holiday pay</t>
  </si>
  <si>
    <t>Reporting Year End Date</t>
  </si>
  <si>
    <t>Approved costs outside the Scheme</t>
  </si>
  <si>
    <t>CONAP</t>
  </si>
  <si>
    <t>Contingency - applied for costs (Capped)</t>
  </si>
  <si>
    <t>New starter</t>
  </si>
  <si>
    <t>Reporting Start Date</t>
  </si>
  <si>
    <t>Bought-in services</t>
  </si>
  <si>
    <t>CONAPU</t>
  </si>
  <si>
    <t>Contingency - applied for costs (Uncapped)</t>
  </si>
  <si>
    <t>Overtime</t>
  </si>
  <si>
    <t>New Financial Year End Date</t>
  </si>
  <si>
    <t>Business rates</t>
  </si>
  <si>
    <t>CONNAP</t>
  </si>
  <si>
    <t>Contingency - not applied for cost</t>
  </si>
  <si>
    <t>Pay increase</t>
  </si>
  <si>
    <t>New Financial Year Start Date</t>
  </si>
  <si>
    <t>Cleaning services</t>
  </si>
  <si>
    <t>DISAB</t>
  </si>
  <si>
    <t>Disability (Capped)</t>
  </si>
  <si>
    <t>PILON</t>
  </si>
  <si>
    <t>Congestion charge &amp; toll</t>
  </si>
  <si>
    <t>DISABU</t>
  </si>
  <si>
    <t>Disability (Uncapped)</t>
  </si>
  <si>
    <t>Redundancy</t>
  </si>
  <si>
    <t>Form Submission Deadline</t>
  </si>
  <si>
    <t>Cost not reconciled</t>
  </si>
  <si>
    <t>MISUNC</t>
  </si>
  <si>
    <t>All MPs Misc (Uncapped)</t>
  </si>
  <si>
    <t>Reward and recognition</t>
  </si>
  <si>
    <t>Council tax</t>
  </si>
  <si>
    <t>MPSA</t>
  </si>
  <si>
    <t>MP Salary</t>
  </si>
  <si>
    <t>Equipment - hire</t>
  </si>
  <si>
    <t>OFFCOS</t>
  </si>
  <si>
    <t>Office Costs</t>
  </si>
  <si>
    <t>Email</t>
  </si>
  <si>
    <t>info@theipsa.org.uk</t>
  </si>
  <si>
    <t>Equipment - purchase</t>
  </si>
  <si>
    <t>OFFCOV</t>
  </si>
  <si>
    <t>Office Costs (COVID-19)</t>
  </si>
  <si>
    <t>GE Equipment Hire Fee</t>
  </si>
  <si>
    <t>SECU</t>
  </si>
  <si>
    <t>Security (Capped)</t>
  </si>
  <si>
    <t>Health &amp; welfare - staff</t>
  </si>
  <si>
    <t>SECUU</t>
  </si>
  <si>
    <t>Security (Uncapped)</t>
  </si>
  <si>
    <t>Health and Welfare (MP)</t>
  </si>
  <si>
    <t>STAFAB</t>
  </si>
  <si>
    <t>Staff Absence</t>
  </si>
  <si>
    <t>Hospitality</t>
  </si>
  <si>
    <t>STAFCV</t>
  </si>
  <si>
    <t>Staffing (COVID-19)</t>
  </si>
  <si>
    <t>Hotel - European</t>
  </si>
  <si>
    <t>STAFF</t>
  </si>
  <si>
    <t>Staffing</t>
  </si>
  <si>
    <t>Hotel - late night</t>
  </si>
  <si>
    <t>TRAVEL</t>
  </si>
  <si>
    <t>Travel</t>
  </si>
  <si>
    <t>Hotel - London</t>
  </si>
  <si>
    <t>Hotel - UK Not London</t>
  </si>
  <si>
    <t>Insurance - buildings</t>
  </si>
  <si>
    <t>Insurance - contents</t>
  </si>
  <si>
    <t>Landline phone &amp; internet - installation &amp; equipment purchase</t>
  </si>
  <si>
    <t>Landline phone &amp; internet - rental &amp; usage</t>
  </si>
  <si>
    <t>Maintenance, Redecorations &amp; Repairs</t>
  </si>
  <si>
    <t>Mileage - bicycle</t>
  </si>
  <si>
    <t>Mileage - car</t>
  </si>
  <si>
    <t>Mileage - motorcycle</t>
  </si>
  <si>
    <t>Mobile telephone - contract &amp; usage</t>
  </si>
  <si>
    <t>Mobile telephone - equipment purchase</t>
  </si>
  <si>
    <t>Moving Fees</t>
  </si>
  <si>
    <t>MP Asset Repayment</t>
  </si>
  <si>
    <t>MP Budget Overspend</t>
  </si>
  <si>
    <t>Newspapers, journals, magazines</t>
  </si>
  <si>
    <t>Not claimed, to be repaid</t>
  </si>
  <si>
    <t>Other</t>
  </si>
  <si>
    <t>Other public transport</t>
  </si>
  <si>
    <t>Parking</t>
  </si>
  <si>
    <t>Pooled staffing services</t>
  </si>
  <si>
    <t>Postage &amp; couriers</t>
  </si>
  <si>
    <t>Rail</t>
  </si>
  <si>
    <t>Railcard</t>
  </si>
  <si>
    <t>Recovered Business Costs - MPs</t>
  </si>
  <si>
    <t>Recruitment Services &amp;Costs</t>
  </si>
  <si>
    <t>Removals</t>
  </si>
  <si>
    <t>Rent</t>
  </si>
  <si>
    <t>Rent PSP</t>
  </si>
  <si>
    <t>Rental Income</t>
  </si>
  <si>
    <t>Security – further measures</t>
  </si>
  <si>
    <t>Security – recommended measures</t>
  </si>
  <si>
    <t>Security – routine costs</t>
  </si>
  <si>
    <t>Service charge &amp; ground Rent</t>
  </si>
  <si>
    <t>Software &amp; applications</t>
  </si>
  <si>
    <t>Stationery &amp; printing</t>
  </si>
  <si>
    <t>Subsistence</t>
  </si>
  <si>
    <t>Taxi</t>
  </si>
  <si>
    <t>Training - MP</t>
  </si>
  <si>
    <t>Training - staff</t>
  </si>
  <si>
    <t>Translation services - other languages</t>
  </si>
  <si>
    <t>Translation services (Welsh Language)</t>
  </si>
  <si>
    <t>TV licence</t>
  </si>
  <si>
    <t>Utilities</t>
  </si>
  <si>
    <t>Vehicle hire cost</t>
  </si>
  <si>
    <t>Venue hire, meetings &amp; surgeries</t>
  </si>
  <si>
    <t>Volunteer - agreed arrangement costs</t>
  </si>
  <si>
    <t>Waste disposal, confidential waste &amp; rubbish collection</t>
  </si>
  <si>
    <t>Website hosting and design</t>
  </si>
  <si>
    <t>Winding Up</t>
  </si>
  <si>
    <t>Year End Forms</t>
  </si>
  <si>
    <t>Anything sent after the deadline will not be considered.</t>
  </si>
  <si>
    <t>Please use a Year End Form to notify IPSA to record costs/income in the correct financial year. There is no need to submit nil responses.</t>
  </si>
  <si>
    <t>We need to know this so that:</t>
  </si>
  <si>
    <t xml:space="preserve"> - you can ensure the expenditure and income are allocated to the correct financial year; and</t>
  </si>
  <si>
    <t>Please DO NOT use this form to record rent that IPSA pays direct to your landlord or goods/services that IPSA pays direct to the supplier.</t>
  </si>
  <si>
    <t>This form is comprised of two pages, one for Goods and Services (see 'Year End Form - G&amp;S' tab) and another for Payroll (see 'Year End Form - Payroll' tab).</t>
  </si>
  <si>
    <r>
      <t xml:space="preserve">Fields with </t>
    </r>
    <r>
      <rPr>
        <sz val="11"/>
        <color rgb="FFFF0000"/>
        <rFont val="Calibri"/>
        <family val="2"/>
        <scheme val="minor"/>
      </rPr>
      <t>*</t>
    </r>
    <r>
      <rPr>
        <sz val="11"/>
        <color theme="1"/>
        <rFont val="Calibri"/>
        <family val="2"/>
        <scheme val="minor"/>
      </rPr>
      <t xml:space="preserve"> are mandatory.</t>
    </r>
  </si>
  <si>
    <t>Goods and Services</t>
  </si>
  <si>
    <t>Example of a filled form is shown below, illustrating the scenarios above.</t>
  </si>
  <si>
    <r>
      <t xml:space="preserve">Expenditure or income (please select) </t>
    </r>
    <r>
      <rPr>
        <b/>
        <sz val="11"/>
        <color rgb="FFFF0000"/>
        <rFont val="Calibri"/>
        <family val="2"/>
        <scheme val="minor"/>
      </rPr>
      <t>*</t>
    </r>
  </si>
  <si>
    <r>
      <t xml:space="preserve">Source of transaction (please select) </t>
    </r>
    <r>
      <rPr>
        <b/>
        <sz val="11"/>
        <color rgb="FFFF0000"/>
        <rFont val="Calibri"/>
        <family val="2"/>
        <scheme val="minor"/>
      </rPr>
      <t>*</t>
    </r>
  </si>
  <si>
    <t>Claim number (if applicable)</t>
  </si>
  <si>
    <t>Claim line number (if applicable)</t>
  </si>
  <si>
    <r>
      <t xml:space="preserve">Details of goods/services </t>
    </r>
    <r>
      <rPr>
        <b/>
        <sz val="11"/>
        <color rgb="FFFF0000"/>
        <rFont val="Calibri"/>
        <family val="2"/>
        <scheme val="minor"/>
      </rPr>
      <t>*</t>
    </r>
  </si>
  <si>
    <r>
      <t xml:space="preserve">Budget (please select) </t>
    </r>
    <r>
      <rPr>
        <b/>
        <sz val="11"/>
        <color rgb="FFFF0000"/>
        <rFont val="Calibri"/>
        <family val="2"/>
        <scheme val="minor"/>
      </rPr>
      <t>*</t>
    </r>
  </si>
  <si>
    <t>Please give the reason for not yet receiving an invoice (invoices are normally supplied at the same time as the goods or services) [if applicable]</t>
  </si>
  <si>
    <r>
      <t xml:space="preserve">Request to IPSA </t>
    </r>
    <r>
      <rPr>
        <b/>
        <sz val="11"/>
        <color rgb="FFFF0000"/>
        <rFont val="Calibri"/>
        <family val="2"/>
        <scheme val="minor"/>
      </rPr>
      <t>*</t>
    </r>
  </si>
  <si>
    <r>
      <t xml:space="preserve">Full transaction amount (£) </t>
    </r>
    <r>
      <rPr>
        <b/>
        <sz val="11"/>
        <color rgb="FFFF0000"/>
        <rFont val="Calibri"/>
        <family val="2"/>
        <scheme val="minor"/>
      </rPr>
      <t>*</t>
    </r>
  </si>
  <si>
    <r>
      <t xml:space="preserve">Does it relate to a good or a service? (please select) </t>
    </r>
    <r>
      <rPr>
        <b/>
        <sz val="11"/>
        <color rgb="FFFF0000"/>
        <rFont val="Calibri"/>
        <family val="2"/>
        <scheme val="minor"/>
      </rPr>
      <t>*</t>
    </r>
  </si>
  <si>
    <r>
      <t xml:space="preserve">Is this an actual amount or an estimate? (please select) </t>
    </r>
    <r>
      <rPr>
        <b/>
        <sz val="11"/>
        <color rgb="FFFF0000"/>
        <rFont val="Calibri"/>
        <family val="2"/>
        <scheme val="minor"/>
      </rPr>
      <t>*</t>
    </r>
  </si>
  <si>
    <t>Basis of the estimation (if estimate is selected)</t>
  </si>
  <si>
    <t>Goods - actual or expected date of receipt (DD/ MM/ YYYY)</t>
  </si>
  <si>
    <t>Service - start date of period of service (DD /MM/ YYYY)</t>
  </si>
  <si>
    <t>Service - end date of period of service (DD /MM/ YYYY)</t>
  </si>
  <si>
    <t>Total number of days for service (Automatic)</t>
  </si>
  <si>
    <t>Ordered over the phone and expecting supplier to send the invoice after 31 March.</t>
  </si>
  <si>
    <t>Based on the previous quarter's daily electricity bill charge.</t>
  </si>
  <si>
    <t>Record in 2021-22</t>
  </si>
  <si>
    <r>
      <rPr>
        <sz val="10"/>
        <color rgb="FFFF0000"/>
        <rFont val="Calibri"/>
        <family val="2"/>
        <scheme val="minor"/>
      </rPr>
      <t>*</t>
    </r>
    <r>
      <rPr>
        <sz val="10"/>
        <color theme="1"/>
        <rFont val="Calibri"/>
        <family val="2"/>
        <scheme val="minor"/>
      </rPr>
      <t xml:space="preserve"> Mandatory field</t>
    </r>
  </si>
  <si>
    <t>Payroll</t>
  </si>
  <si>
    <t>Example of a filled form is shown below.</t>
  </si>
  <si>
    <r>
      <t xml:space="preserve">Staff member name </t>
    </r>
    <r>
      <rPr>
        <b/>
        <sz val="11"/>
        <color rgb="FFFF0000"/>
        <rFont val="Calibri"/>
        <family val="2"/>
        <scheme val="minor"/>
      </rPr>
      <t>*</t>
    </r>
  </si>
  <si>
    <r>
      <t xml:space="preserve">Amount (£) (reasonable estimate if you do not know the exact figure) </t>
    </r>
    <r>
      <rPr>
        <b/>
        <sz val="11"/>
        <color rgb="FFFF0000"/>
        <rFont val="Calibri"/>
        <family val="2"/>
        <scheme val="minor"/>
      </rPr>
      <t>*</t>
    </r>
  </si>
  <si>
    <t>Employers National Insurance cost 13.8% (£) [Automatic]</t>
  </si>
  <si>
    <t>Employers pension cost 10% (£) [Automatic]</t>
  </si>
  <si>
    <t>Total cost (£) [Automatic]</t>
  </si>
  <si>
    <t>A N Other</t>
  </si>
  <si>
    <t>J Bloggs</t>
  </si>
  <si>
    <t>Year End Form - Goods and Services</t>
  </si>
  <si>
    <t>Service - start date of period of service  (DD /MM/ YYYY)</t>
  </si>
  <si>
    <t>Expenditure Totals</t>
  </si>
  <si>
    <t>Income Totals</t>
  </si>
  <si>
    <t>We may need to contact you for further information regarding any items you have noted on this form.</t>
  </si>
  <si>
    <t>Please fill in the fields below before submitting this form to IPSA.</t>
  </si>
  <si>
    <t>I declare that the information provided on this Year End form is correct to the best of my knowledge and all mandatory fields are completed. I understand that items with cells that are highlighted in red will not be considered.</t>
  </si>
  <si>
    <t>If I am sending this form as a proxy, I declare that the MP is aware of this Year End form being submittted.</t>
  </si>
  <si>
    <r>
      <t xml:space="preserve">MP's Name </t>
    </r>
    <r>
      <rPr>
        <b/>
        <sz val="11"/>
        <color rgb="FFFF0000"/>
        <rFont val="Calibri"/>
        <family val="2"/>
        <scheme val="minor"/>
      </rPr>
      <t>*</t>
    </r>
  </si>
  <si>
    <r>
      <t xml:space="preserve">Name of Person Submitting the Form </t>
    </r>
    <r>
      <rPr>
        <b/>
        <sz val="11"/>
        <color rgb="FFFF0000"/>
        <rFont val="Calibri"/>
        <family val="2"/>
        <scheme val="minor"/>
      </rPr>
      <t>*</t>
    </r>
  </si>
  <si>
    <r>
      <t xml:space="preserve">MP's Constituency </t>
    </r>
    <r>
      <rPr>
        <b/>
        <sz val="11"/>
        <color rgb="FFFF0000"/>
        <rFont val="Calibri"/>
        <family val="2"/>
        <scheme val="minor"/>
      </rPr>
      <t>*</t>
    </r>
  </si>
  <si>
    <r>
      <t xml:space="preserve">Date </t>
    </r>
    <r>
      <rPr>
        <b/>
        <sz val="11"/>
        <color rgb="FFFF0000"/>
        <rFont val="Calibri"/>
        <family val="2"/>
        <scheme val="minor"/>
      </rPr>
      <t>*</t>
    </r>
  </si>
  <si>
    <t>Year End Form - Payroll</t>
  </si>
  <si>
    <t>Totals</t>
  </si>
  <si>
    <t>2021-22</t>
  </si>
  <si>
    <t>Please refer to the Year End guidance, available via the IPSA bulletin and the year end section on ipsaonline.org.uk, for further information.</t>
  </si>
  <si>
    <t>Stationery ordered on/before 31 March 2022 and received on/before 31 March 2022.</t>
  </si>
  <si>
    <t>Incurred mileage expenses between 20 February 2022 and 22 February 2022, but only submitted expense claim on 4 April 2022.</t>
  </si>
  <si>
    <t>Quarterly electricity bill to cover the period up to 30 April 2022.</t>
  </si>
  <si>
    <t>Submitted claim, in March 2022, for council tax bill to cover the period 1 April 2022 to 31 March 2023.</t>
  </si>
  <si>
    <t>Printer paid for on 30 March 2022 to be delivered on 2 April 2022. Claim to IPSA went through on 31 March 2022.</t>
  </si>
  <si>
    <t>Notified by a hotel company, by April 2022, of a refund regarding a room that was occupied up to 31 March 2022.</t>
  </si>
  <si>
    <t>Quarterly income received in advance for subletting your office for April 2022 - June 2022.</t>
  </si>
  <si>
    <t>Expecting the quarterly electricity bill for up to 30 April 2022 to be issued.</t>
  </si>
  <si>
    <t>IPSA expects to receive the funds after 31 March 2022.</t>
  </si>
  <si>
    <t>Record in 2022-23</t>
  </si>
  <si>
    <t>Please fill in this form to inform IPSA of business costs incurred/will be incurred or income received/will be received that needs to be recorded in the appropriate financial year. This could be a result of any of the following scenarios:</t>
  </si>
  <si>
    <r>
      <t xml:space="preserve">Business cost category (please select) </t>
    </r>
    <r>
      <rPr>
        <b/>
        <sz val="11"/>
        <color rgb="FFFF0000"/>
        <rFont val="Calibri"/>
        <family val="2"/>
        <scheme val="minor"/>
      </rPr>
      <t>*</t>
    </r>
  </si>
  <si>
    <t>Please fill in this form, with your name and date at the bottom, to inform IPSA of business costs incurred/will be  incurred or income received/will be received that ought to be recorded in the correct financial year. This could be a result of any of the following scenarios:</t>
  </si>
  <si>
    <t>Please complete this form from left to right.</t>
  </si>
  <si>
    <t>Please DO NOT fill in fields that are greyed out.</t>
  </si>
  <si>
    <r>
      <t xml:space="preserve">Fields with </t>
    </r>
    <r>
      <rPr>
        <sz val="11"/>
        <color rgb="FFFF0000"/>
        <rFont val="Calibri"/>
        <family val="2"/>
        <scheme val="minor"/>
      </rPr>
      <t>*</t>
    </r>
    <r>
      <rPr>
        <sz val="11"/>
        <color theme="1"/>
        <rFont val="Calibri"/>
        <family val="2"/>
        <scheme val="minor"/>
      </rPr>
      <t xml:space="preserve"> are mandatory and cells highlighted in red must be filled in before submitting to IPSA. Items submitted with red cells WILL NOT be considered.</t>
    </r>
  </si>
  <si>
    <t xml:space="preserve">This form WILL NOT automatically make payments to staff members in itself. Please see the full guidance available on the year end section on ipsaonline.org.uk for more details on other documentation requirements. </t>
  </si>
  <si>
    <t xml:space="preserve"> - reward and recognition payments to staff members that are to be paid in April/May 2022 salaries, but which you want to allocate to your 2021-22 staffing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</si>
</sst>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dd/mm/yyyy;@"/>
    <numFmt numFmtId="166" formatCode="[$-F800]dddd\,\ mmmm\ dd\,\ yyyy"/>
  </numFmts>
  <fonts count="15" x14ac:knownFonts="1">
    <font>
      <sz val="11"/>
      <color theme="1"/>
      <name val="Calibri"/>
      <family val="2"/>
      <scheme val="minor"/>
    </font>
    <font>
      <b/>
      <sz val="11"/>
      <color theme="1"/>
      <name val="Calibri"/>
      <family val="2"/>
      <scheme val="minor"/>
    </font>
    <font>
      <sz val="18"/>
      <color theme="1"/>
      <name val="Calibri"/>
      <family val="2"/>
      <scheme val="minor"/>
    </font>
    <font>
      <b/>
      <sz val="14"/>
      <color theme="1"/>
      <name val="Calibri"/>
      <family val="2"/>
      <scheme val="minor"/>
    </font>
    <font>
      <b/>
      <sz val="28"/>
      <color theme="4"/>
      <name val="Calibri"/>
      <family val="2"/>
      <scheme val="minor"/>
    </font>
    <font>
      <b/>
      <sz val="12"/>
      <color rgb="FFFF0000"/>
      <name val="Calibri"/>
      <family val="2"/>
      <scheme val="minor"/>
    </font>
    <font>
      <sz val="11"/>
      <name val="Calibri"/>
      <family val="2"/>
      <scheme val="minor"/>
    </font>
    <font>
      <sz val="11"/>
      <color theme="1" tint="0.34998626667073579"/>
      <name val="Calibri"/>
      <family val="2"/>
      <scheme val="minor"/>
    </font>
    <font>
      <b/>
      <sz val="36"/>
      <color theme="4"/>
      <name val="Calibri"/>
      <family val="2"/>
      <scheme val="minor"/>
    </font>
    <font>
      <b/>
      <sz val="11"/>
      <color rgb="FFFF0000"/>
      <name val="Calibri"/>
      <family val="2"/>
      <scheme val="minor"/>
    </font>
    <font>
      <sz val="11"/>
      <color rgb="FFFF0000"/>
      <name val="Calibri"/>
      <family val="2"/>
      <scheme val="minor"/>
    </font>
    <font>
      <u/>
      <sz val="11"/>
      <color theme="10"/>
      <name val="Calibri"/>
      <family val="2"/>
      <scheme val="minor"/>
    </font>
    <font>
      <sz val="10"/>
      <color theme="1"/>
      <name val="Calibri"/>
      <family val="2"/>
      <scheme val="minor"/>
    </font>
    <font>
      <sz val="10"/>
      <color rgb="FFFF0000"/>
      <name val="Calibri"/>
      <family val="2"/>
      <scheme val="minor"/>
    </font>
    <font>
      <b/>
      <sz val="1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59999389629810485"/>
        <bgColor indexed="64"/>
      </patternFill>
    </fill>
  </fills>
  <borders count="11">
    <border>
      <left/>
      <right/>
      <top/>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
      <left style="thin">
        <color theme="6" tint="0.59996337778862885"/>
      </left>
      <right/>
      <top style="thin">
        <color theme="6" tint="0.59996337778862885"/>
      </top>
      <bottom style="thin">
        <color theme="6" tint="0.59996337778862885"/>
      </bottom>
      <diagonal/>
    </border>
    <border>
      <left/>
      <right style="thin">
        <color theme="6" tint="0.59996337778862885"/>
      </right>
      <top style="thin">
        <color theme="6" tint="0.59996337778862885"/>
      </top>
      <bottom style="thin">
        <color theme="6" tint="0.59996337778862885"/>
      </bottom>
      <diagonal/>
    </border>
    <border>
      <left/>
      <right/>
      <top style="thin">
        <color theme="6" tint="0.59996337778862885"/>
      </top>
      <bottom style="thin">
        <color theme="6" tint="0.59996337778862885"/>
      </bottom>
      <diagonal/>
    </border>
    <border>
      <left style="thin">
        <color theme="6" tint="0.59996337778862885"/>
      </left>
      <right style="thin">
        <color theme="6" tint="0.59996337778862885"/>
      </right>
      <top/>
      <bottom style="thin">
        <color theme="6" tint="0.59996337778862885"/>
      </bottom>
      <diagonal/>
    </border>
    <border>
      <left style="medium">
        <color theme="8"/>
      </left>
      <right style="thin">
        <color theme="6" tint="0.59996337778862885"/>
      </right>
      <top style="medium">
        <color theme="8"/>
      </top>
      <bottom style="medium">
        <color theme="8"/>
      </bottom>
      <diagonal/>
    </border>
    <border>
      <left style="thin">
        <color theme="6" tint="0.59996337778862885"/>
      </left>
      <right style="thin">
        <color theme="6" tint="0.59996337778862885"/>
      </right>
      <top style="medium">
        <color theme="8"/>
      </top>
      <bottom style="medium">
        <color theme="8"/>
      </bottom>
      <diagonal/>
    </border>
    <border>
      <left style="thin">
        <color theme="6" tint="0.59996337778862885"/>
      </left>
      <right style="medium">
        <color theme="8"/>
      </right>
      <top style="medium">
        <color theme="8"/>
      </top>
      <bottom style="medium">
        <color theme="8"/>
      </bottom>
      <diagonal/>
    </border>
    <border>
      <left style="medium">
        <color theme="8"/>
      </left>
      <right/>
      <top style="medium">
        <color theme="8"/>
      </top>
      <bottom style="medium">
        <color theme="8"/>
      </bottom>
      <diagonal/>
    </border>
    <border>
      <left/>
      <right style="thin">
        <color theme="6" tint="0.59996337778862885"/>
      </right>
      <top style="medium">
        <color theme="8"/>
      </top>
      <bottom style="medium">
        <color theme="8"/>
      </bottom>
      <diagonal/>
    </border>
  </borders>
  <cellStyleXfs count="2">
    <xf numFmtId="0" fontId="0" fillId="0" borderId="0"/>
    <xf numFmtId="0" fontId="11" fillId="0" borderId="0" applyNumberFormat="0" applyFill="0" applyBorder="0" applyAlignment="0" applyProtection="0"/>
  </cellStyleXfs>
  <cellXfs count="92">
    <xf numFmtId="0" fontId="0" fillId="0" borderId="0" xfId="0"/>
    <xf numFmtId="0" fontId="1" fillId="0" borderId="0" xfId="0" applyFont="1"/>
    <xf numFmtId="0" fontId="4" fillId="0" borderId="0" xfId="0" applyFont="1"/>
    <xf numFmtId="0" fontId="0" fillId="2" borderId="1" xfId="0" applyFill="1" applyBorder="1"/>
    <xf numFmtId="164" fontId="0" fillId="2" borderId="1" xfId="0" applyNumberFormat="1" applyFill="1" applyBorder="1"/>
    <xf numFmtId="0" fontId="5" fillId="0" borderId="0" xfId="0" applyFont="1"/>
    <xf numFmtId="0" fontId="0" fillId="0" borderId="1" xfId="0" applyBorder="1" applyProtection="1">
      <protection locked="0"/>
    </xf>
    <xf numFmtId="164" fontId="0" fillId="0" borderId="1" xfId="0" applyNumberFormat="1" applyBorder="1" applyProtection="1">
      <protection locked="0"/>
    </xf>
    <xf numFmtId="165" fontId="0" fillId="0" borderId="1" xfId="0" applyNumberFormat="1" applyBorder="1" applyProtection="1">
      <protection locked="0"/>
    </xf>
    <xf numFmtId="0" fontId="0" fillId="0" borderId="0" xfId="0" applyFont="1"/>
    <xf numFmtId="0" fontId="1" fillId="4" borderId="1" xfId="0" applyFont="1" applyFill="1" applyBorder="1"/>
    <xf numFmtId="164" fontId="1" fillId="4" borderId="1" xfId="0" applyNumberFormat="1" applyFont="1" applyFill="1" applyBorder="1"/>
    <xf numFmtId="0" fontId="0" fillId="0" borderId="1" xfId="0" applyBorder="1" applyAlignment="1" applyProtection="1">
      <alignment wrapText="1"/>
      <protection locked="0"/>
    </xf>
    <xf numFmtId="0" fontId="0" fillId="0" borderId="0" xfId="0" applyProtection="1"/>
    <xf numFmtId="0" fontId="0" fillId="0" borderId="0" xfId="0" applyAlignment="1" applyProtection="1">
      <alignment horizontal="right"/>
    </xf>
    <xf numFmtId="0" fontId="0" fillId="3" borderId="0" xfId="0" applyFill="1" applyProtection="1"/>
    <xf numFmtId="0" fontId="1" fillId="0" borderId="0" xfId="0" applyFont="1" applyProtection="1"/>
    <xf numFmtId="0" fontId="7" fillId="0" borderId="1" xfId="0" applyFont="1" applyBorder="1" applyProtection="1"/>
    <xf numFmtId="0" fontId="7" fillId="0" borderId="1" xfId="0" applyFont="1" applyBorder="1" applyAlignment="1" applyProtection="1">
      <alignment wrapText="1"/>
    </xf>
    <xf numFmtId="164" fontId="7" fillId="0" borderId="1" xfId="0" applyNumberFormat="1" applyFont="1" applyBorder="1" applyProtection="1"/>
    <xf numFmtId="165" fontId="7" fillId="0" borderId="1" xfId="0" applyNumberFormat="1" applyFont="1" applyBorder="1" applyProtection="1"/>
    <xf numFmtId="0" fontId="7" fillId="2" borderId="1" xfId="0" applyFont="1" applyFill="1" applyBorder="1" applyProtection="1"/>
    <xf numFmtId="164" fontId="7" fillId="2" borderId="1" xfId="0" applyNumberFormat="1" applyFont="1" applyFill="1" applyBorder="1" applyProtection="1"/>
    <xf numFmtId="0" fontId="2" fillId="0" borderId="0" xfId="0" applyFont="1" applyProtection="1"/>
    <xf numFmtId="0" fontId="0" fillId="0" borderId="0" xfId="0" applyFill="1" applyProtection="1"/>
    <xf numFmtId="14" fontId="0" fillId="0" borderId="0" xfId="0" applyNumberFormat="1" applyFill="1" applyProtection="1"/>
    <xf numFmtId="14" fontId="0" fillId="3" borderId="0" xfId="0" applyNumberFormat="1" applyFill="1" applyProtection="1"/>
    <xf numFmtId="0" fontId="3" fillId="0" borderId="0" xfId="0" applyFont="1" applyFill="1" applyProtection="1"/>
    <xf numFmtId="0" fontId="3" fillId="0" borderId="0" xfId="0" applyFont="1" applyFill="1" applyAlignment="1" applyProtection="1">
      <alignment horizontal="right"/>
    </xf>
    <xf numFmtId="0" fontId="8" fillId="0" borderId="0" xfId="0" applyFont="1" applyProtection="1"/>
    <xf numFmtId="14" fontId="0" fillId="0" borderId="0" xfId="0" applyNumberFormat="1" applyProtection="1"/>
    <xf numFmtId="164" fontId="6" fillId="2" borderId="1" xfId="0" applyNumberFormat="1" applyFont="1" applyFill="1" applyBorder="1" applyProtection="1"/>
    <xf numFmtId="164" fontId="1" fillId="0" borderId="1" xfId="0" applyNumberFormat="1" applyFont="1" applyBorder="1" applyProtection="1"/>
    <xf numFmtId="0" fontId="12" fillId="0" borderId="0" xfId="0" applyFont="1" applyProtection="1"/>
    <xf numFmtId="0" fontId="11" fillId="3" borderId="0" xfId="1" applyFill="1" applyProtection="1"/>
    <xf numFmtId="0" fontId="0" fillId="0" borderId="0" xfId="0" applyAlignment="1" applyProtection="1">
      <alignment horizontal="left" vertical="top" wrapText="1"/>
    </xf>
    <xf numFmtId="0" fontId="6" fillId="0" borderId="1" xfId="0" applyFont="1" applyBorder="1" applyAlignment="1" applyProtection="1">
      <alignment wrapText="1"/>
      <protection locked="0"/>
    </xf>
    <xf numFmtId="0" fontId="0" fillId="0" borderId="0" xfId="0" applyAlignment="1">
      <alignment horizontal="left" vertical="top" wrapText="1"/>
    </xf>
    <xf numFmtId="0" fontId="3" fillId="3" borderId="0" xfId="0" applyFont="1" applyFill="1" applyAlignment="1" applyProtection="1">
      <alignment horizontal="center" vertical="center"/>
    </xf>
    <xf numFmtId="0" fontId="3" fillId="3" borderId="0" xfId="0" applyFont="1" applyFill="1" applyAlignment="1" applyProtection="1">
      <alignment vertical="center"/>
    </xf>
    <xf numFmtId="0" fontId="0" fillId="0" borderId="0" xfId="0" applyAlignment="1">
      <alignment vertical="center"/>
    </xf>
    <xf numFmtId="0" fontId="1" fillId="0" borderId="0" xfId="0" applyFont="1" applyAlignment="1" applyProtection="1">
      <alignment vertical="top" wrapText="1"/>
    </xf>
    <xf numFmtId="0" fontId="0" fillId="0" borderId="0" xfId="0" applyAlignment="1" applyProtection="1">
      <alignment wrapText="1"/>
    </xf>
    <xf numFmtId="0" fontId="0" fillId="0" borderId="0" xfId="0" applyAlignment="1" applyProtection="1"/>
    <xf numFmtId="0" fontId="0" fillId="0" borderId="0" xfId="0" applyAlignment="1" applyProtection="1">
      <alignment vertical="top" wrapText="1"/>
    </xf>
    <xf numFmtId="0" fontId="0" fillId="0" borderId="5" xfId="0" applyBorder="1" applyAlignment="1" applyProtection="1">
      <alignment wrapText="1"/>
      <protection locked="0"/>
    </xf>
    <xf numFmtId="0" fontId="6" fillId="0" borderId="5" xfId="0" applyFont="1" applyBorder="1" applyAlignment="1" applyProtection="1">
      <alignment wrapText="1"/>
      <protection locked="0"/>
    </xf>
    <xf numFmtId="164" fontId="0" fillId="0" borderId="5" xfId="0" applyNumberFormat="1" applyBorder="1" applyProtection="1">
      <protection locked="0"/>
    </xf>
    <xf numFmtId="0" fontId="0" fillId="0" borderId="5" xfId="0" applyBorder="1" applyProtection="1">
      <protection locked="0"/>
    </xf>
    <xf numFmtId="165" fontId="0" fillId="0" borderId="5" xfId="0" applyNumberFormat="1" applyBorder="1" applyProtection="1">
      <protection locked="0"/>
    </xf>
    <xf numFmtId="0" fontId="0" fillId="2" borderId="5" xfId="0" applyFill="1" applyBorder="1"/>
    <xf numFmtId="164" fontId="0" fillId="2" borderId="5" xfId="0" applyNumberFormat="1" applyFill="1" applyBorder="1"/>
    <xf numFmtId="0" fontId="1" fillId="0" borderId="6" xfId="0" applyFont="1" applyFill="1" applyBorder="1" applyAlignment="1" applyProtection="1">
      <alignment wrapText="1"/>
    </xf>
    <xf numFmtId="0" fontId="1" fillId="0" borderId="7" xfId="0" applyFont="1" applyFill="1" applyBorder="1" applyAlignment="1" applyProtection="1">
      <alignment wrapText="1"/>
    </xf>
    <xf numFmtId="0" fontId="1" fillId="4" borderId="7" xfId="0" applyFont="1" applyFill="1" applyBorder="1" applyAlignment="1">
      <alignment wrapText="1"/>
    </xf>
    <xf numFmtId="0" fontId="1" fillId="4" borderId="7" xfId="0" applyFont="1" applyFill="1" applyBorder="1" applyAlignment="1" applyProtection="1">
      <alignment wrapText="1"/>
    </xf>
    <xf numFmtId="0" fontId="1" fillId="4" borderId="8" xfId="0" applyFont="1" applyFill="1" applyBorder="1" applyAlignment="1" applyProtection="1">
      <alignment wrapText="1"/>
    </xf>
    <xf numFmtId="0" fontId="1" fillId="5" borderId="2" xfId="0" applyFont="1" applyFill="1" applyBorder="1" applyAlignment="1">
      <alignment vertical="center"/>
    </xf>
    <xf numFmtId="0" fontId="1" fillId="5" borderId="3" xfId="0" applyFont="1" applyFill="1" applyBorder="1" applyAlignment="1">
      <alignment vertical="center"/>
    </xf>
    <xf numFmtId="0" fontId="0" fillId="5" borderId="3" xfId="0" applyFill="1" applyBorder="1" applyAlignment="1">
      <alignment vertical="center"/>
    </xf>
    <xf numFmtId="0" fontId="7" fillId="0" borderId="5" xfId="0" applyFont="1" applyBorder="1" applyProtection="1"/>
    <xf numFmtId="0" fontId="7" fillId="0" borderId="5" xfId="0" applyFont="1" applyBorder="1" applyAlignment="1" applyProtection="1">
      <alignment wrapText="1"/>
    </xf>
    <xf numFmtId="164" fontId="7" fillId="0" borderId="5" xfId="0" applyNumberFormat="1" applyFont="1" applyBorder="1" applyProtection="1"/>
    <xf numFmtId="165" fontId="7" fillId="0" borderId="5" xfId="0" applyNumberFormat="1" applyFont="1" applyBorder="1" applyProtection="1"/>
    <xf numFmtId="0" fontId="7" fillId="2" borderId="5" xfId="0" applyFont="1" applyFill="1" applyBorder="1" applyProtection="1"/>
    <xf numFmtId="164" fontId="7" fillId="2" borderId="5" xfId="0" applyNumberFormat="1" applyFont="1" applyFill="1" applyBorder="1" applyProtection="1"/>
    <xf numFmtId="164" fontId="6" fillId="2" borderId="5" xfId="0" applyNumberFormat="1" applyFont="1" applyFill="1" applyBorder="1" applyProtection="1"/>
    <xf numFmtId="0" fontId="0" fillId="0" borderId="0" xfId="0" applyBorder="1" applyAlignment="1" applyProtection="1">
      <alignment vertical="center"/>
      <protection locked="0"/>
    </xf>
    <xf numFmtId="14" fontId="0" fillId="0" borderId="0" xfId="0" applyNumberFormat="1" applyBorder="1" applyAlignment="1" applyProtection="1">
      <alignment vertical="center"/>
      <protection locked="0"/>
    </xf>
    <xf numFmtId="0" fontId="0" fillId="0" borderId="0" xfId="0" applyAlignment="1">
      <alignment horizontal="left"/>
    </xf>
    <xf numFmtId="0" fontId="0" fillId="0" borderId="0" xfId="0" applyAlignment="1">
      <alignment horizontal="left" wrapText="1"/>
    </xf>
    <xf numFmtId="0" fontId="7" fillId="0" borderId="5" xfId="0" applyFont="1" applyBorder="1" applyAlignment="1" applyProtection="1">
      <alignment horizontal="left"/>
    </xf>
    <xf numFmtId="0" fontId="7" fillId="0" borderId="2" xfId="0" applyFont="1" applyBorder="1" applyAlignment="1" applyProtection="1">
      <alignment horizontal="left"/>
    </xf>
    <xf numFmtId="0" fontId="7" fillId="0" borderId="3" xfId="0" applyFont="1" applyBorder="1" applyAlignment="1" applyProtection="1">
      <alignment horizontal="left"/>
    </xf>
    <xf numFmtId="0" fontId="14" fillId="0" borderId="9" xfId="0" applyFont="1" applyFill="1" applyBorder="1" applyAlignment="1" applyProtection="1">
      <alignment horizontal="left" wrapText="1"/>
    </xf>
    <xf numFmtId="0" fontId="14" fillId="0" borderId="10" xfId="0" applyFont="1" applyFill="1" applyBorder="1" applyAlignment="1" applyProtection="1">
      <alignment horizontal="left"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166" fontId="0" fillId="0" borderId="2" xfId="0" applyNumberFormat="1" applyBorder="1" applyAlignment="1" applyProtection="1">
      <alignment horizontal="right" vertical="center"/>
      <protection locked="0"/>
    </xf>
    <xf numFmtId="166" fontId="0" fillId="0" borderId="4" xfId="0" applyNumberFormat="1" applyBorder="1" applyAlignment="1" applyProtection="1">
      <alignment horizontal="right" vertical="center"/>
      <protection locked="0"/>
    </xf>
    <xf numFmtId="166" fontId="0" fillId="0" borderId="3" xfId="0" applyNumberFormat="1" applyBorder="1" applyAlignment="1" applyProtection="1">
      <alignment horizontal="right" vertical="center"/>
      <protection locked="0"/>
    </xf>
    <xf numFmtId="0" fontId="0" fillId="0" borderId="0" xfId="0" applyAlignment="1" applyProtection="1">
      <alignment horizontal="left" wrapText="1"/>
    </xf>
    <xf numFmtId="0" fontId="0" fillId="0" borderId="0" xfId="0" applyAlignment="1" applyProtection="1">
      <alignment horizontal="left"/>
    </xf>
    <xf numFmtId="0" fontId="0" fillId="0" borderId="1" xfId="0" applyBorder="1" applyAlignment="1" applyProtection="1">
      <alignment horizontal="left"/>
      <protection locked="0"/>
    </xf>
    <xf numFmtId="0" fontId="0" fillId="0" borderId="5"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cellXfs>
  <cellStyles count="2">
    <cellStyle name="Hyperlink" xfId="1" builtinId="8"/>
    <cellStyle name="Normal" xfId="0" builtinId="0"/>
  </cellStyles>
  <dxfs count="18">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theme="6" tint="0.79998168889431442"/>
        </patternFill>
      </fill>
    </dxf>
    <dxf>
      <fill>
        <patternFill>
          <bgColor rgb="FFFFC7CE"/>
        </patternFill>
      </fill>
    </dxf>
    <dxf>
      <fill>
        <patternFill>
          <bgColor theme="6" tint="0.79998168889431442"/>
        </patternFill>
      </fill>
    </dxf>
    <dxf>
      <fill>
        <patternFill>
          <bgColor theme="6" tint="0.79998168889431442"/>
        </patternFill>
      </fill>
    </dxf>
    <dxf>
      <fill>
        <patternFill>
          <bgColor rgb="FFFFC7CE"/>
        </patternFill>
      </fill>
    </dxf>
    <dxf>
      <fill>
        <patternFill patternType="none">
          <bgColor auto="1"/>
        </patternFill>
      </fill>
    </dxf>
    <dxf>
      <fill>
        <patternFill patternType="none">
          <bgColor auto="1"/>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7CE"/>
      <color rgb="FFFF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713312</xdr:colOff>
      <xdr:row>1</xdr:row>
      <xdr:rowOff>9525</xdr:rowOff>
    </xdr:from>
    <xdr:to>
      <xdr:col>19</xdr:col>
      <xdr:colOff>621713</xdr:colOff>
      <xdr:row>5</xdr:row>
      <xdr:rowOff>134186</xdr:rowOff>
    </xdr:to>
    <xdr:pic>
      <xdr:nvPicPr>
        <xdr:cNvPr id="2" name="Graphic 19">
          <a:extLst>
            <a:ext uri="{FF2B5EF4-FFF2-40B4-BE49-F238E27FC236}">
              <a16:creationId xmlns:a16="http://schemas.microsoft.com/office/drawing/2014/main" id="{FF80A8F9-BDE4-447C-A0E1-8B58BA337138}"/>
            </a:ext>
          </a:extLst>
        </xdr:cNvPr>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8254" t="12060" r="8149" b="12898"/>
        <a:stretch/>
      </xdr:blipFill>
      <xdr:spPr bwMode="auto">
        <a:xfrm>
          <a:off x="16418979" y="200025"/>
          <a:ext cx="2279068" cy="128882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133687</xdr:colOff>
      <xdr:row>2</xdr:row>
      <xdr:rowOff>9525</xdr:rowOff>
    </xdr:from>
    <xdr:to>
      <xdr:col>20</xdr:col>
      <xdr:colOff>47</xdr:colOff>
      <xdr:row>7</xdr:row>
      <xdr:rowOff>0</xdr:rowOff>
    </xdr:to>
    <xdr:pic>
      <xdr:nvPicPr>
        <xdr:cNvPr id="2" name="Graphic 19">
          <a:extLst>
            <a:ext uri="{FF2B5EF4-FFF2-40B4-BE49-F238E27FC236}">
              <a16:creationId xmlns:a16="http://schemas.microsoft.com/office/drawing/2014/main" id="{BA0052E6-AE1F-4BE3-82C7-5BCFD2181EF9}"/>
            </a:ext>
          </a:extLst>
        </xdr:cNvPr>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8254" t="12060" r="8149" b="12898"/>
        <a:stretch/>
      </xdr:blipFill>
      <xdr:spPr bwMode="auto">
        <a:xfrm>
          <a:off x="17050915" y="382242"/>
          <a:ext cx="2144078" cy="120180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652912</xdr:colOff>
      <xdr:row>2</xdr:row>
      <xdr:rowOff>9524</xdr:rowOff>
    </xdr:from>
    <xdr:to>
      <xdr:col>10</xdr:col>
      <xdr:colOff>1275</xdr:colOff>
      <xdr:row>7</xdr:row>
      <xdr:rowOff>500</xdr:rowOff>
    </xdr:to>
    <xdr:pic>
      <xdr:nvPicPr>
        <xdr:cNvPr id="2" name="Graphic 19">
          <a:extLst>
            <a:ext uri="{FF2B5EF4-FFF2-40B4-BE49-F238E27FC236}">
              <a16:creationId xmlns:a16="http://schemas.microsoft.com/office/drawing/2014/main" id="{CA466FE2-F068-4BD3-8CE1-7CA4E4049A4A}"/>
            </a:ext>
          </a:extLst>
        </xdr:cNvPr>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8254" t="12060" r="8149" b="12898"/>
        <a:stretch/>
      </xdr:blipFill>
      <xdr:spPr bwMode="auto">
        <a:xfrm>
          <a:off x="11561544" y="390524"/>
          <a:ext cx="2135678" cy="122421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Custom 1">
      <a:dk1>
        <a:srgbClr val="000000"/>
      </a:dk1>
      <a:lt1>
        <a:sysClr val="window" lastClr="FFFFFF"/>
      </a:lt1>
      <a:dk2>
        <a:srgbClr val="253746"/>
      </a:dk2>
      <a:lt2>
        <a:srgbClr val="E7E6E6"/>
      </a:lt2>
      <a:accent1>
        <a:srgbClr val="00816D"/>
      </a:accent1>
      <a:accent2>
        <a:srgbClr val="253746"/>
      </a:accent2>
      <a:accent3>
        <a:srgbClr val="989A9A"/>
      </a:accent3>
      <a:accent4>
        <a:srgbClr val="7E335A"/>
      </a:accent4>
      <a:accent5>
        <a:srgbClr val="379A87"/>
      </a:accent5>
      <a:accent6>
        <a:srgbClr val="431C5B"/>
      </a:accent6>
      <a:hlink>
        <a:srgbClr val="00886C"/>
      </a:hlink>
      <a:folHlink>
        <a:srgbClr val="2537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theipsa.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E0A5A-D295-488A-9086-1282418B460B}">
  <dimension ref="B2:N71"/>
  <sheetViews>
    <sheetView zoomScale="95" zoomScaleNormal="95" workbookViewId="0">
      <selection activeCell="B9" sqref="B9"/>
    </sheetView>
  </sheetViews>
  <sheetFormatPr defaultColWidth="9.140625" defaultRowHeight="15" x14ac:dyDescent="0.25"/>
  <cols>
    <col min="1" max="1" width="3.7109375" style="13" customWidth="1"/>
    <col min="2" max="2" width="27.140625" style="13" customWidth="1"/>
    <col min="3" max="3" width="22.28515625" style="13" customWidth="1"/>
    <col min="4" max="4" width="4.5703125" style="13" customWidth="1"/>
    <col min="5" max="6" width="20.140625" style="13" customWidth="1"/>
    <col min="7" max="7" width="13.140625" style="13" customWidth="1"/>
    <col min="8" max="8" width="55.42578125" style="13" customWidth="1"/>
    <col min="9" max="9" width="11.85546875" style="13" customWidth="1"/>
    <col min="10" max="10" width="38.7109375" style="13" customWidth="1"/>
    <col min="11" max="11" width="16.42578125" style="13" bestFit="1" customWidth="1"/>
    <col min="12" max="12" width="12.7109375" style="13" customWidth="1"/>
    <col min="13" max="13" width="15.42578125" style="13" customWidth="1"/>
    <col min="14" max="14" width="22.140625" style="13" customWidth="1"/>
    <col min="15" max="16384" width="9.140625" style="13"/>
  </cols>
  <sheetData>
    <row r="2" spans="2:14" ht="23.25" x14ac:dyDescent="0.35">
      <c r="B2" s="23" t="s">
        <v>0</v>
      </c>
    </row>
    <row r="4" spans="2:14" x14ac:dyDescent="0.25">
      <c r="B4" s="13" t="s">
        <v>1</v>
      </c>
      <c r="C4" s="15" t="s">
        <v>190</v>
      </c>
      <c r="E4" s="16" t="s">
        <v>2</v>
      </c>
      <c r="F4" s="16" t="s">
        <v>3</v>
      </c>
      <c r="G4" s="16" t="s">
        <v>4</v>
      </c>
      <c r="H4" s="16" t="s">
        <v>5</v>
      </c>
      <c r="I4" s="16" t="s">
        <v>6</v>
      </c>
      <c r="J4" s="16" t="s">
        <v>7</v>
      </c>
      <c r="K4" s="16" t="s">
        <v>8</v>
      </c>
      <c r="L4" s="16" t="s">
        <v>9</v>
      </c>
      <c r="M4" s="16" t="s">
        <v>10</v>
      </c>
      <c r="N4" s="16" t="s">
        <v>11</v>
      </c>
    </row>
    <row r="5" spans="2:14" x14ac:dyDescent="0.25">
      <c r="B5" s="13" t="s">
        <v>12</v>
      </c>
      <c r="C5" s="24" t="str">
        <f>LEFT(C4,4)+1&amp;"-"&amp;RIGHT(C4,2)+1</f>
        <v>2022-23</v>
      </c>
      <c r="E5" s="13" t="s">
        <v>13</v>
      </c>
      <c r="F5" s="13" t="s">
        <v>14</v>
      </c>
      <c r="G5" s="13">
        <v>21113</v>
      </c>
      <c r="H5" s="13" t="s">
        <v>15</v>
      </c>
      <c r="I5" s="13" t="s">
        <v>16</v>
      </c>
      <c r="J5" s="13" t="s">
        <v>17</v>
      </c>
      <c r="K5" s="13" t="str">
        <f>"Record in "&amp;C4</f>
        <v>Record in 2021-22</v>
      </c>
      <c r="L5" s="13" t="s">
        <v>18</v>
      </c>
      <c r="M5" s="13" t="s">
        <v>19</v>
      </c>
      <c r="N5" s="13" t="s">
        <v>20</v>
      </c>
    </row>
    <row r="6" spans="2:14" x14ac:dyDescent="0.25">
      <c r="E6" s="13" t="s">
        <v>21</v>
      </c>
      <c r="F6" s="13" t="s">
        <v>22</v>
      </c>
      <c r="G6" s="13">
        <v>21255</v>
      </c>
      <c r="H6" s="13" t="s">
        <v>23</v>
      </c>
      <c r="I6" s="13" t="s">
        <v>24</v>
      </c>
      <c r="J6" s="13" t="s">
        <v>25</v>
      </c>
      <c r="K6" s="13" t="str">
        <f>"Record in "&amp;C5</f>
        <v>Record in 2022-23</v>
      </c>
      <c r="L6" s="13" t="s">
        <v>26</v>
      </c>
      <c r="M6" s="13" t="s">
        <v>27</v>
      </c>
      <c r="N6" s="13" t="s">
        <v>28</v>
      </c>
    </row>
    <row r="7" spans="2:14" x14ac:dyDescent="0.25">
      <c r="B7" s="13" t="s">
        <v>29</v>
      </c>
      <c r="C7" s="25">
        <f>DATE(20&amp;RIGHT(C4,2),3,31)</f>
        <v>44651</v>
      </c>
      <c r="F7" s="13" t="s">
        <v>21</v>
      </c>
      <c r="G7" s="13">
        <v>21303</v>
      </c>
      <c r="H7" s="13" t="s">
        <v>30</v>
      </c>
      <c r="I7" s="13" t="s">
        <v>31</v>
      </c>
      <c r="J7" s="13" t="s">
        <v>32</v>
      </c>
      <c r="N7" s="13" t="s">
        <v>33</v>
      </c>
    </row>
    <row r="8" spans="2:14" x14ac:dyDescent="0.25">
      <c r="B8" s="13" t="s">
        <v>34</v>
      </c>
      <c r="C8" s="30">
        <f>DATE(LEFT(C4,4),4,1)</f>
        <v>44287</v>
      </c>
      <c r="G8" s="13">
        <v>21306</v>
      </c>
      <c r="H8" s="13" t="s">
        <v>35</v>
      </c>
      <c r="I8" s="13" t="s">
        <v>36</v>
      </c>
      <c r="J8" s="13" t="s">
        <v>37</v>
      </c>
      <c r="N8" s="13" t="s">
        <v>38</v>
      </c>
    </row>
    <row r="9" spans="2:14" x14ac:dyDescent="0.25">
      <c r="B9" s="13" t="s">
        <v>39</v>
      </c>
      <c r="C9" s="25">
        <f>DATE(20&amp;RIGHT(C5,2),3,31)</f>
        <v>45016</v>
      </c>
      <c r="G9" s="13">
        <v>21106</v>
      </c>
      <c r="H9" s="13" t="s">
        <v>40</v>
      </c>
      <c r="I9" s="13" t="s">
        <v>41</v>
      </c>
      <c r="J9" s="13" t="s">
        <v>42</v>
      </c>
      <c r="N9" s="13" t="s">
        <v>43</v>
      </c>
    </row>
    <row r="10" spans="2:14" x14ac:dyDescent="0.25">
      <c r="B10" s="13" t="s">
        <v>44</v>
      </c>
      <c r="C10" s="30">
        <f>DATE(LEFT(C5,4),4,1)</f>
        <v>44652</v>
      </c>
      <c r="G10" s="13">
        <v>21107</v>
      </c>
      <c r="H10" s="13" t="s">
        <v>45</v>
      </c>
      <c r="I10" s="13" t="s">
        <v>46</v>
      </c>
      <c r="J10" s="13" t="s">
        <v>47</v>
      </c>
      <c r="N10" s="13" t="s">
        <v>48</v>
      </c>
    </row>
    <row r="11" spans="2:14" x14ac:dyDescent="0.25">
      <c r="G11" s="13">
        <v>21254</v>
      </c>
      <c r="H11" s="13" t="s">
        <v>49</v>
      </c>
      <c r="I11" s="13" t="s">
        <v>50</v>
      </c>
      <c r="J11" s="13" t="s">
        <v>51</v>
      </c>
      <c r="N11" s="13" t="s">
        <v>52</v>
      </c>
    </row>
    <row r="12" spans="2:14" x14ac:dyDescent="0.25">
      <c r="B12" s="13" t="s">
        <v>53</v>
      </c>
      <c r="C12" s="26">
        <v>44665</v>
      </c>
      <c r="G12" s="13">
        <v>21308</v>
      </c>
      <c r="H12" s="13" t="s">
        <v>54</v>
      </c>
      <c r="I12" s="13" t="s">
        <v>55</v>
      </c>
      <c r="J12" s="13" t="s">
        <v>56</v>
      </c>
      <c r="N12" s="13" t="s">
        <v>57</v>
      </c>
    </row>
    <row r="13" spans="2:14" x14ac:dyDescent="0.25">
      <c r="C13" s="13" t="str">
        <f>TEXT(C12,"dddd dd mmmm yyyy")</f>
        <v>Thursday 14 April 2022</v>
      </c>
      <c r="G13" s="13">
        <v>21101</v>
      </c>
      <c r="H13" s="13" t="s">
        <v>58</v>
      </c>
      <c r="I13" s="13" t="s">
        <v>59</v>
      </c>
      <c r="J13" s="13" t="s">
        <v>60</v>
      </c>
    </row>
    <row r="14" spans="2:14" x14ac:dyDescent="0.25">
      <c r="G14" s="13">
        <v>21111</v>
      </c>
      <c r="H14" s="13" t="s">
        <v>61</v>
      </c>
      <c r="I14" s="13" t="s">
        <v>62</v>
      </c>
      <c r="J14" s="13" t="s">
        <v>63</v>
      </c>
    </row>
    <row r="15" spans="2:14" x14ac:dyDescent="0.25">
      <c r="B15" t="s">
        <v>64</v>
      </c>
      <c r="C15" s="34" t="s">
        <v>65</v>
      </c>
      <c r="G15" s="13">
        <v>21112</v>
      </c>
      <c r="H15" s="13" t="s">
        <v>66</v>
      </c>
      <c r="I15" s="13" t="s">
        <v>67</v>
      </c>
      <c r="J15" s="13" t="s">
        <v>68</v>
      </c>
    </row>
    <row r="16" spans="2:14" x14ac:dyDescent="0.25">
      <c r="B16"/>
      <c r="C16"/>
      <c r="G16" s="13">
        <v>10506</v>
      </c>
      <c r="H16" s="13" t="s">
        <v>69</v>
      </c>
      <c r="I16" s="13" t="s">
        <v>70</v>
      </c>
      <c r="J16" s="13" t="s">
        <v>71</v>
      </c>
    </row>
    <row r="17" spans="7:10" x14ac:dyDescent="0.25">
      <c r="G17" s="13">
        <v>23064</v>
      </c>
      <c r="H17" s="13" t="s">
        <v>72</v>
      </c>
      <c r="I17" s="13" t="s">
        <v>73</v>
      </c>
      <c r="J17" s="13" t="s">
        <v>74</v>
      </c>
    </row>
    <row r="18" spans="7:10" x14ac:dyDescent="0.25">
      <c r="G18" s="13">
        <v>21064</v>
      </c>
      <c r="H18" s="13" t="s">
        <v>75</v>
      </c>
      <c r="I18" s="13" t="s">
        <v>76</v>
      </c>
      <c r="J18" s="13" t="s">
        <v>77</v>
      </c>
    </row>
    <row r="19" spans="7:10" x14ac:dyDescent="0.25">
      <c r="G19" s="13">
        <v>21120</v>
      </c>
      <c r="H19" s="13" t="s">
        <v>78</v>
      </c>
      <c r="I19" s="13" t="s">
        <v>79</v>
      </c>
      <c r="J19" s="13" t="s">
        <v>80</v>
      </c>
    </row>
    <row r="20" spans="7:10" x14ac:dyDescent="0.25">
      <c r="G20" s="13">
        <v>21258</v>
      </c>
      <c r="H20" s="13" t="s">
        <v>81</v>
      </c>
      <c r="I20" s="13" t="s">
        <v>82</v>
      </c>
      <c r="J20" s="13" t="s">
        <v>83</v>
      </c>
    </row>
    <row r="21" spans="7:10" x14ac:dyDescent="0.25">
      <c r="G21" s="13">
        <v>21259</v>
      </c>
      <c r="H21" s="13" t="s">
        <v>84</v>
      </c>
      <c r="I21" s="13" t="s">
        <v>85</v>
      </c>
      <c r="J21" s="13" t="s">
        <v>86</v>
      </c>
    </row>
    <row r="22" spans="7:10" x14ac:dyDescent="0.25">
      <c r="G22" s="13">
        <v>21256</v>
      </c>
      <c r="H22" s="13" t="s">
        <v>87</v>
      </c>
    </row>
    <row r="23" spans="7:10" x14ac:dyDescent="0.25">
      <c r="G23" s="13">
        <v>21257</v>
      </c>
      <c r="H23" s="13" t="s">
        <v>88</v>
      </c>
      <c r="I23" s="13" t="s">
        <v>31</v>
      </c>
      <c r="J23" s="13" t="s">
        <v>32</v>
      </c>
    </row>
    <row r="24" spans="7:10" x14ac:dyDescent="0.25">
      <c r="G24" s="13">
        <v>21102</v>
      </c>
      <c r="H24" s="13" t="s">
        <v>89</v>
      </c>
      <c r="I24" s="13" t="s">
        <v>36</v>
      </c>
      <c r="J24" s="13" t="s">
        <v>37</v>
      </c>
    </row>
    <row r="25" spans="7:10" x14ac:dyDescent="0.25">
      <c r="G25" s="13">
        <v>21108</v>
      </c>
      <c r="H25" s="13" t="s">
        <v>90</v>
      </c>
      <c r="I25" s="13" t="s">
        <v>41</v>
      </c>
      <c r="J25" s="13" t="s">
        <v>42</v>
      </c>
    </row>
    <row r="26" spans="7:10" x14ac:dyDescent="0.25">
      <c r="G26" s="13">
        <v>21131</v>
      </c>
      <c r="H26" s="13" t="s">
        <v>91</v>
      </c>
      <c r="I26" s="13" t="s">
        <v>46</v>
      </c>
      <c r="J26" s="13" t="s">
        <v>47</v>
      </c>
    </row>
    <row r="27" spans="7:10" x14ac:dyDescent="0.25">
      <c r="G27" s="13">
        <v>21132</v>
      </c>
      <c r="H27" s="13" t="s">
        <v>92</v>
      </c>
      <c r="I27" s="13" t="s">
        <v>50</v>
      </c>
      <c r="J27" s="13" t="s">
        <v>51</v>
      </c>
    </row>
    <row r="28" spans="7:10" x14ac:dyDescent="0.25">
      <c r="G28" s="13">
        <v>21109</v>
      </c>
      <c r="H28" s="13" t="s">
        <v>93</v>
      </c>
      <c r="I28" s="13" t="s">
        <v>76</v>
      </c>
      <c r="J28" s="13" t="s">
        <v>77</v>
      </c>
    </row>
    <row r="29" spans="7:10" x14ac:dyDescent="0.25">
      <c r="G29" s="13">
        <v>21250</v>
      </c>
      <c r="H29" s="13" t="s">
        <v>94</v>
      </c>
      <c r="I29" s="13" t="s">
        <v>79</v>
      </c>
      <c r="J29" s="13" t="s">
        <v>80</v>
      </c>
    </row>
    <row r="30" spans="7:10" x14ac:dyDescent="0.25">
      <c r="G30" s="13">
        <v>21252</v>
      </c>
      <c r="H30" s="13" t="s">
        <v>95</v>
      </c>
      <c r="I30" s="13" t="s">
        <v>82</v>
      </c>
      <c r="J30" s="13" t="s">
        <v>83</v>
      </c>
    </row>
    <row r="31" spans="7:10" x14ac:dyDescent="0.25">
      <c r="G31" s="13">
        <v>21251</v>
      </c>
      <c r="H31" s="13" t="s">
        <v>96</v>
      </c>
    </row>
    <row r="32" spans="7:10" x14ac:dyDescent="0.25">
      <c r="G32" s="13">
        <v>21134</v>
      </c>
      <c r="H32" s="13" t="s">
        <v>97</v>
      </c>
    </row>
    <row r="33" spans="7:8" x14ac:dyDescent="0.25">
      <c r="G33" s="13">
        <v>21133</v>
      </c>
      <c r="H33" s="13" t="s">
        <v>98</v>
      </c>
    </row>
    <row r="34" spans="7:8" x14ac:dyDescent="0.25">
      <c r="G34" s="13">
        <v>21121</v>
      </c>
      <c r="H34" s="13" t="s">
        <v>99</v>
      </c>
    </row>
    <row r="35" spans="7:8" x14ac:dyDescent="0.25">
      <c r="G35" s="13">
        <v>10507</v>
      </c>
      <c r="H35" s="13" t="s">
        <v>100</v>
      </c>
    </row>
    <row r="36" spans="7:8" x14ac:dyDescent="0.25">
      <c r="G36" s="13">
        <v>21307</v>
      </c>
      <c r="H36" s="13" t="s">
        <v>101</v>
      </c>
    </row>
    <row r="37" spans="7:8" x14ac:dyDescent="0.25">
      <c r="G37" s="13">
        <v>21114</v>
      </c>
      <c r="H37" s="13" t="s">
        <v>102</v>
      </c>
    </row>
    <row r="38" spans="7:8" x14ac:dyDescent="0.25">
      <c r="G38" s="13">
        <v>21304</v>
      </c>
      <c r="H38" s="13" t="s">
        <v>103</v>
      </c>
    </row>
    <row r="39" spans="7:8" x14ac:dyDescent="0.25">
      <c r="G39" s="13">
        <v>21305</v>
      </c>
      <c r="H39" s="13" t="s">
        <v>104</v>
      </c>
    </row>
    <row r="40" spans="7:8" x14ac:dyDescent="0.25">
      <c r="G40" s="13">
        <v>21261</v>
      </c>
      <c r="H40" s="13" t="s">
        <v>105</v>
      </c>
    </row>
    <row r="41" spans="7:8" x14ac:dyDescent="0.25">
      <c r="G41" s="13">
        <v>21260</v>
      </c>
      <c r="H41" s="13" t="s">
        <v>106</v>
      </c>
    </row>
    <row r="42" spans="7:8" x14ac:dyDescent="0.25">
      <c r="G42" s="13">
        <v>26022</v>
      </c>
      <c r="H42" s="13" t="s">
        <v>107</v>
      </c>
    </row>
    <row r="43" spans="7:8" x14ac:dyDescent="0.25">
      <c r="G43" s="13">
        <v>21115</v>
      </c>
      <c r="H43" s="13" t="s">
        <v>108</v>
      </c>
    </row>
    <row r="44" spans="7:8" x14ac:dyDescent="0.25">
      <c r="G44" s="13">
        <v>21262</v>
      </c>
      <c r="H44" s="13" t="s">
        <v>109</v>
      </c>
    </row>
    <row r="45" spans="7:8" x14ac:dyDescent="0.25">
      <c r="G45" s="13">
        <v>21263</v>
      </c>
      <c r="H45" s="13" t="s">
        <v>110</v>
      </c>
    </row>
    <row r="46" spans="7:8" x14ac:dyDescent="0.25">
      <c r="G46" s="24">
        <v>10505</v>
      </c>
      <c r="H46" s="24" t="s">
        <v>111</v>
      </c>
    </row>
    <row r="47" spans="7:8" x14ac:dyDescent="0.25">
      <c r="G47" s="13">
        <v>23061</v>
      </c>
      <c r="H47" s="13" t="s">
        <v>112</v>
      </c>
    </row>
    <row r="48" spans="7:8" x14ac:dyDescent="0.25">
      <c r="G48" s="13">
        <v>21119</v>
      </c>
      <c r="H48" s="13" t="s">
        <v>113</v>
      </c>
    </row>
    <row r="49" spans="7:8" x14ac:dyDescent="0.25">
      <c r="G49" s="13">
        <v>21103</v>
      </c>
      <c r="H49" s="13" t="s">
        <v>114</v>
      </c>
    </row>
    <row r="50" spans="7:8" x14ac:dyDescent="0.25">
      <c r="G50" s="13">
        <v>21122</v>
      </c>
      <c r="H50" s="13" t="s">
        <v>115</v>
      </c>
    </row>
    <row r="51" spans="7:8" x14ac:dyDescent="0.25">
      <c r="G51" s="13">
        <v>10503</v>
      </c>
      <c r="H51" s="13" t="s">
        <v>116</v>
      </c>
    </row>
    <row r="52" spans="7:8" x14ac:dyDescent="0.25">
      <c r="G52" s="13">
        <v>21401</v>
      </c>
      <c r="H52" s="13" t="s">
        <v>117</v>
      </c>
    </row>
    <row r="53" spans="7:8" x14ac:dyDescent="0.25">
      <c r="G53" s="13">
        <v>21402</v>
      </c>
      <c r="H53" s="13" t="s">
        <v>118</v>
      </c>
    </row>
    <row r="54" spans="7:8" x14ac:dyDescent="0.25">
      <c r="G54" s="13">
        <v>21403</v>
      </c>
      <c r="H54" s="13" t="s">
        <v>119</v>
      </c>
    </row>
    <row r="55" spans="7:8" x14ac:dyDescent="0.25">
      <c r="G55" s="13">
        <v>21104</v>
      </c>
      <c r="H55" s="13" t="s">
        <v>120</v>
      </c>
    </row>
    <row r="56" spans="7:8" x14ac:dyDescent="0.25">
      <c r="G56" s="13">
        <v>21135</v>
      </c>
      <c r="H56" s="13" t="s">
        <v>121</v>
      </c>
    </row>
    <row r="57" spans="7:8" x14ac:dyDescent="0.25">
      <c r="G57" s="13">
        <v>21116</v>
      </c>
      <c r="H57" s="13" t="s">
        <v>122</v>
      </c>
    </row>
    <row r="58" spans="7:8" x14ac:dyDescent="0.25">
      <c r="G58" s="13">
        <v>21265</v>
      </c>
      <c r="H58" s="13" t="s">
        <v>123</v>
      </c>
    </row>
    <row r="59" spans="7:8" x14ac:dyDescent="0.25">
      <c r="G59" s="13">
        <v>21266</v>
      </c>
      <c r="H59" s="13" t="s">
        <v>124</v>
      </c>
    </row>
    <row r="60" spans="7:8" x14ac:dyDescent="0.25">
      <c r="G60" s="13">
        <v>21141</v>
      </c>
      <c r="H60" s="13" t="s">
        <v>125</v>
      </c>
    </row>
    <row r="61" spans="7:8" x14ac:dyDescent="0.25">
      <c r="G61" s="13">
        <v>23141</v>
      </c>
      <c r="H61" s="13" t="s">
        <v>126</v>
      </c>
    </row>
    <row r="62" spans="7:8" x14ac:dyDescent="0.25">
      <c r="G62" s="13">
        <v>21302</v>
      </c>
      <c r="H62" s="13" t="s">
        <v>127</v>
      </c>
    </row>
    <row r="63" spans="7:8" x14ac:dyDescent="0.25">
      <c r="G63" s="13">
        <v>21301</v>
      </c>
      <c r="H63" s="13" t="s">
        <v>128</v>
      </c>
    </row>
    <row r="64" spans="7:8" x14ac:dyDescent="0.25">
      <c r="G64" s="13">
        <v>21110</v>
      </c>
      <c r="H64" s="13" t="s">
        <v>129</v>
      </c>
    </row>
    <row r="65" spans="7:8" x14ac:dyDescent="0.25">
      <c r="G65" s="13">
        <v>21105</v>
      </c>
      <c r="H65" s="13" t="s">
        <v>130</v>
      </c>
    </row>
    <row r="66" spans="7:8" x14ac:dyDescent="0.25">
      <c r="G66" s="13">
        <v>21253</v>
      </c>
      <c r="H66" s="13" t="s">
        <v>131</v>
      </c>
    </row>
    <row r="67" spans="7:8" x14ac:dyDescent="0.25">
      <c r="G67" s="13">
        <v>21117</v>
      </c>
      <c r="H67" s="13" t="s">
        <v>132</v>
      </c>
    </row>
    <row r="68" spans="7:8" x14ac:dyDescent="0.25">
      <c r="G68" s="13">
        <v>26021</v>
      </c>
      <c r="H68" s="13" t="s">
        <v>133</v>
      </c>
    </row>
    <row r="69" spans="7:8" x14ac:dyDescent="0.25">
      <c r="G69" s="13">
        <v>21118</v>
      </c>
      <c r="H69" s="13" t="s">
        <v>134</v>
      </c>
    </row>
    <row r="70" spans="7:8" x14ac:dyDescent="0.25">
      <c r="G70" s="13">
        <v>21136</v>
      </c>
      <c r="H70" s="13" t="s">
        <v>135</v>
      </c>
    </row>
    <row r="71" spans="7:8" x14ac:dyDescent="0.25">
      <c r="G71" s="13">
        <v>21309</v>
      </c>
      <c r="H71" s="13" t="s">
        <v>136</v>
      </c>
    </row>
  </sheetData>
  <sheetProtection algorithmName="SHA-512" hashValue="38seFRSqV2JCFbCVXNHJfGpCO6LMVSPLPe1ZoCyfNWDr0as+8I0m8H6w3GYbEGaQkYG8QqX5trxQNJ4Se/uT2w==" saltValue="WMhugJMQLn0V9qGAZKQsRA==" spinCount="100000" sheet="1" selectLockedCells="1" selectUnlockedCells="1"/>
  <sortState xmlns:xlrd2="http://schemas.microsoft.com/office/spreadsheetml/2017/richdata2" ref="G5:H71">
    <sortCondition ref="H5:H71"/>
  </sortState>
  <hyperlinks>
    <hyperlink ref="C15" r:id="rId1" xr:uid="{15F4E29B-AF93-48E7-89BB-138CCCCEA9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9B23-D35D-46FB-961D-58E0845D2459}">
  <dimension ref="A2:T57"/>
  <sheetViews>
    <sheetView showGridLines="0" zoomScale="93" zoomScaleNormal="93" workbookViewId="0">
      <selection activeCell="B51" sqref="B51"/>
    </sheetView>
  </sheetViews>
  <sheetFormatPr defaultColWidth="9.140625" defaultRowHeight="15" x14ac:dyDescent="0.25"/>
  <cols>
    <col min="1" max="1" width="2.140625" style="24" customWidth="1"/>
    <col min="2" max="2" width="14.140625" style="13" customWidth="1"/>
    <col min="3" max="3" width="14.28515625" style="13" customWidth="1"/>
    <col min="4" max="4" width="14" style="13" customWidth="1"/>
    <col min="5" max="5" width="14.85546875" style="13" customWidth="1"/>
    <col min="6" max="6" width="19.7109375" style="13" customWidth="1"/>
    <col min="7" max="7" width="17.42578125" style="13" customWidth="1"/>
    <col min="8" max="8" width="27.42578125" style="13" customWidth="1"/>
    <col min="9" max="9" width="18.28515625" style="13" customWidth="1"/>
    <col min="10" max="10" width="18.42578125" style="13" customWidth="1"/>
    <col min="11" max="11" width="12.140625" style="13" customWidth="1"/>
    <col min="12" max="12" width="12.28515625" style="13" customWidth="1"/>
    <col min="13" max="13" width="16.140625" style="13" customWidth="1"/>
    <col min="14" max="14" width="14.42578125" style="13" customWidth="1"/>
    <col min="15" max="15" width="11.28515625" style="13" customWidth="1"/>
    <col min="16" max="17" width="11.85546875" style="13" customWidth="1"/>
    <col min="18" max="18" width="12" style="13" customWidth="1"/>
    <col min="19" max="19" width="11.5703125" style="13" customWidth="1"/>
    <col min="20" max="20" width="11.28515625" style="13" customWidth="1"/>
    <col min="21" max="16384" width="9.140625" style="13"/>
  </cols>
  <sheetData>
    <row r="2" spans="2:19" ht="46.5" x14ac:dyDescent="0.7">
      <c r="B2" s="29" t="s">
        <v>137</v>
      </c>
      <c r="S2" s="14"/>
    </row>
    <row r="6" spans="2:19" ht="15.75" x14ac:dyDescent="0.25">
      <c r="B6" s="5" t="str">
        <f>"Please send these forms to IPSA by 23:59 on "&amp;Controls!$C$13&amp;" to "&amp;Controls!$C$15&amp;"."</f>
        <v>Please send these forms to IPSA by 23:59 on Thursday 14 April 2022 to info@theipsa.org.uk.</v>
      </c>
    </row>
    <row r="7" spans="2:19" ht="15.75" x14ac:dyDescent="0.25">
      <c r="B7" s="5" t="s">
        <v>138</v>
      </c>
    </row>
    <row r="9" spans="2:19" ht="15" customHeight="1" x14ac:dyDescent="0.25">
      <c r="B9" s="79" t="s">
        <v>139</v>
      </c>
      <c r="C9" s="79"/>
      <c r="D9" s="79"/>
      <c r="E9" s="79"/>
      <c r="F9" s="79"/>
      <c r="G9" s="79"/>
      <c r="H9" s="79"/>
      <c r="I9" s="79"/>
      <c r="J9" s="79"/>
      <c r="K9" s="79"/>
      <c r="L9" s="79"/>
      <c r="M9" s="79"/>
      <c r="N9" s="79"/>
      <c r="O9" s="79"/>
      <c r="P9" s="79"/>
      <c r="Q9" s="79"/>
      <c r="R9" s="79"/>
      <c r="S9" s="79"/>
    </row>
    <row r="10" spans="2:19" ht="15" customHeight="1" x14ac:dyDescent="0.25">
      <c r="B10" s="79" t="s">
        <v>140</v>
      </c>
      <c r="C10" s="79"/>
      <c r="D10" s="79"/>
      <c r="E10" s="79"/>
      <c r="F10" s="79"/>
      <c r="G10" s="79"/>
      <c r="H10" s="79"/>
      <c r="I10" s="79"/>
      <c r="J10" s="79"/>
      <c r="K10" s="79"/>
      <c r="L10" s="79"/>
      <c r="M10" s="79"/>
      <c r="N10" s="79"/>
      <c r="O10" s="79"/>
      <c r="P10" s="79"/>
      <c r="Q10" s="79"/>
      <c r="R10" s="79"/>
      <c r="S10" s="79"/>
    </row>
    <row r="11" spans="2:19" ht="15" customHeight="1" x14ac:dyDescent="0.25">
      <c r="B11" s="79" t="s">
        <v>141</v>
      </c>
      <c r="C11" s="79"/>
      <c r="D11" s="79"/>
      <c r="E11" s="79"/>
      <c r="F11" s="79"/>
      <c r="G11" s="79"/>
      <c r="H11" s="79"/>
      <c r="I11" s="79"/>
      <c r="J11" s="79"/>
      <c r="K11" s="79"/>
      <c r="L11" s="79"/>
      <c r="M11" s="79"/>
      <c r="N11" s="79"/>
      <c r="O11" s="79"/>
      <c r="P11" s="79"/>
      <c r="Q11" s="79"/>
      <c r="R11" s="79"/>
      <c r="S11" s="79"/>
    </row>
    <row r="12" spans="2:19" ht="21.75" customHeight="1" x14ac:dyDescent="0.25">
      <c r="B12" s="79" t="str">
        <f>" - we can correctly report the amount of taxpayers' money spent in "&amp;Controls!$C$4&amp;" to the National Audit Office."</f>
        <v xml:space="preserve"> - we can correctly report the amount of taxpayers' money spent in 2021-22 to the National Audit Office.</v>
      </c>
      <c r="C12" s="79"/>
      <c r="D12" s="79"/>
      <c r="E12" s="79"/>
      <c r="F12" s="79"/>
      <c r="G12" s="79"/>
      <c r="H12" s="79"/>
      <c r="I12" s="79"/>
      <c r="J12" s="79"/>
      <c r="K12" s="79"/>
      <c r="L12" s="79"/>
      <c r="M12" s="79"/>
      <c r="N12" s="79"/>
      <c r="O12" s="79"/>
      <c r="P12" s="79"/>
      <c r="Q12" s="79"/>
      <c r="R12" s="79"/>
      <c r="S12" s="79"/>
    </row>
    <row r="13" spans="2:19" ht="15" customHeight="1" x14ac:dyDescent="0.25">
      <c r="B13" s="79" t="s">
        <v>142</v>
      </c>
      <c r="C13" s="79"/>
      <c r="D13" s="79"/>
      <c r="E13" s="79"/>
      <c r="F13" s="79"/>
      <c r="G13" s="79"/>
      <c r="H13" s="79"/>
      <c r="I13" s="79"/>
      <c r="J13" s="79"/>
      <c r="K13" s="79"/>
      <c r="L13" s="79"/>
      <c r="M13" s="79"/>
      <c r="N13" s="79"/>
      <c r="O13" s="79"/>
      <c r="P13" s="79"/>
      <c r="Q13" s="79"/>
      <c r="R13" s="79"/>
      <c r="S13" s="79"/>
    </row>
    <row r="14" spans="2:19" ht="15" customHeight="1" x14ac:dyDescent="0.25">
      <c r="B14" s="79" t="s">
        <v>191</v>
      </c>
      <c r="C14" s="79"/>
      <c r="D14" s="79"/>
      <c r="E14" s="79"/>
      <c r="F14" s="79"/>
      <c r="G14" s="79"/>
      <c r="H14" s="79"/>
      <c r="I14" s="79"/>
      <c r="J14" s="79"/>
      <c r="K14" s="79"/>
      <c r="L14" s="79"/>
      <c r="M14" s="79"/>
      <c r="N14" s="79"/>
      <c r="O14" s="79"/>
      <c r="P14" s="79"/>
      <c r="Q14" s="79"/>
      <c r="R14" s="79"/>
      <c r="S14" s="79"/>
    </row>
    <row r="15" spans="2:19" ht="15" customHeight="1" x14ac:dyDescent="0.25">
      <c r="B15" s="79" t="s">
        <v>143</v>
      </c>
      <c r="C15" s="79"/>
      <c r="D15" s="79"/>
      <c r="E15" s="79"/>
      <c r="F15" s="79"/>
      <c r="G15" s="79"/>
      <c r="H15" s="79"/>
      <c r="I15" s="79"/>
      <c r="J15" s="79"/>
      <c r="K15" s="79"/>
      <c r="L15" s="79"/>
      <c r="M15" s="79"/>
      <c r="N15" s="79"/>
      <c r="O15" s="79"/>
      <c r="P15" s="79"/>
      <c r="Q15" s="79"/>
      <c r="R15" s="79"/>
      <c r="S15" s="79"/>
    </row>
    <row r="16" spans="2:19" ht="15" customHeight="1" x14ac:dyDescent="0.25">
      <c r="B16" s="79" t="s">
        <v>144</v>
      </c>
      <c r="C16" s="79"/>
      <c r="D16" s="79"/>
      <c r="E16" s="79"/>
      <c r="F16" s="79"/>
      <c r="G16" s="79"/>
      <c r="H16" s="79"/>
      <c r="I16" s="79"/>
      <c r="J16" s="79"/>
      <c r="K16" s="79"/>
      <c r="L16" s="79"/>
      <c r="M16" s="79"/>
      <c r="N16" s="79"/>
      <c r="O16" s="79"/>
      <c r="P16" s="79"/>
      <c r="Q16" s="79"/>
      <c r="R16" s="79"/>
      <c r="S16" s="79"/>
    </row>
    <row r="17" spans="1:20" x14ac:dyDescent="0.25">
      <c r="B17" s="35"/>
      <c r="C17" s="35"/>
      <c r="D17" s="35"/>
      <c r="E17" s="35"/>
      <c r="F17" s="35"/>
      <c r="G17" s="35"/>
      <c r="H17" s="35"/>
      <c r="I17" s="35"/>
      <c r="J17" s="35"/>
      <c r="K17" s="35"/>
      <c r="L17" s="35"/>
      <c r="M17" s="35"/>
      <c r="N17" s="35"/>
      <c r="O17" s="35"/>
      <c r="P17" s="35"/>
      <c r="Q17" s="35"/>
      <c r="R17" s="35"/>
      <c r="S17" s="35"/>
    </row>
    <row r="19" spans="1:20" ht="24" customHeight="1" x14ac:dyDescent="0.3">
      <c r="A19" s="27"/>
      <c r="B19" s="38">
        <v>1</v>
      </c>
      <c r="C19" s="39" t="s">
        <v>145</v>
      </c>
      <c r="D19" s="15"/>
      <c r="E19" s="15"/>
      <c r="F19" s="15"/>
      <c r="G19" s="15"/>
      <c r="H19" s="15"/>
      <c r="I19" s="15"/>
      <c r="J19" s="15"/>
      <c r="K19" s="15"/>
      <c r="L19" s="15"/>
      <c r="M19" s="15"/>
      <c r="N19" s="15"/>
      <c r="O19" s="15"/>
      <c r="P19" s="15"/>
      <c r="Q19" s="15"/>
      <c r="R19" s="15"/>
      <c r="S19" s="15"/>
      <c r="T19" s="15"/>
    </row>
    <row r="21" spans="1:20" x14ac:dyDescent="0.25">
      <c r="B21" s="76" t="s">
        <v>202</v>
      </c>
      <c r="C21" s="77"/>
      <c r="D21" s="77"/>
      <c r="E21" s="77"/>
      <c r="F21" s="77"/>
      <c r="G21" s="77"/>
      <c r="H21" s="77"/>
      <c r="I21" s="77"/>
      <c r="J21" s="77"/>
      <c r="K21" s="77"/>
      <c r="L21" s="77"/>
      <c r="M21" s="77"/>
      <c r="N21" s="77"/>
      <c r="O21" s="77"/>
      <c r="P21" s="77"/>
      <c r="Q21" s="77"/>
      <c r="R21" s="77"/>
      <c r="S21" s="77"/>
    </row>
    <row r="22" spans="1:20" ht="15" customHeight="1" x14ac:dyDescent="0.25">
      <c r="B22" s="70" t="str">
        <f>" - where an invoice is not yet available and you are unable to submit a claim or reconcile your payment card lines before the submission deadline of "&amp;TEXT(Controls!$C$12,"dd mmmm")&amp;"; or"</f>
        <v xml:space="preserve"> - where an invoice is not yet available and you are unable to submit a claim or reconcile your payment card lines before the submission deadline of 14 April; or</v>
      </c>
      <c r="C22" s="70"/>
      <c r="D22" s="70"/>
      <c r="E22" s="70"/>
      <c r="F22" s="70"/>
      <c r="G22" s="70"/>
      <c r="H22" s="70"/>
      <c r="I22" s="70"/>
      <c r="J22" s="70"/>
      <c r="K22" s="70"/>
      <c r="L22" s="70"/>
      <c r="M22" s="70"/>
      <c r="N22" s="70"/>
      <c r="O22" s="70"/>
      <c r="P22" s="70"/>
      <c r="Q22" s="70"/>
      <c r="R22" s="70"/>
      <c r="S22" s="70"/>
    </row>
    <row r="23" spans="1:20" ht="15" customHeight="1" x14ac:dyDescent="0.25">
      <c r="B23" s="70" t="str">
        <f>" - where the service has been paid for in advance (and will be received in part or full on or after "&amp;TEXT(Controls!$C$10,"d mmmm yyyy")&amp;"), either by reimubursement or payment card and where the costs need to be allocated in full or in part to your "&amp;Controls!$C$5&amp;" budgets; or"</f>
        <v xml:space="preserve"> - where the service has been paid for in advance (and will be received in part or full on or after 1 April 2022), either by reimubursement or payment card and where the costs need to be allocated in full or in part to your 2022-23 budgets; or</v>
      </c>
      <c r="C23" s="70"/>
      <c r="D23" s="70"/>
      <c r="E23" s="70"/>
      <c r="F23" s="70"/>
      <c r="G23" s="70"/>
      <c r="H23" s="70"/>
      <c r="I23" s="70"/>
      <c r="J23" s="70"/>
      <c r="K23" s="70"/>
      <c r="L23" s="70"/>
      <c r="M23" s="70"/>
      <c r="N23" s="70"/>
      <c r="O23" s="70"/>
      <c r="P23" s="70"/>
      <c r="Q23" s="70"/>
      <c r="R23" s="70"/>
      <c r="S23" s="70"/>
    </row>
    <row r="24" spans="1:20" ht="15" customHeight="1" x14ac:dyDescent="0.25">
      <c r="B24" s="70" t="str">
        <f>" - you have received income relating to a good/service in "&amp;Controls!$C$4&amp;" but IPSA are only due to receive the funds in the new financial year ("&amp;TEXT(Controls!$C$10,"d mmmm yyyy")&amp;" to "&amp;TEXT(Controls!$C$9,"d mmmm yyyy")&amp;"); or"</f>
        <v xml:space="preserve"> - you have received income relating to a good/service in 2021-22 but IPSA are only due to receive the funds in the new financial year (1 April 2022 to 31 March 2023); or</v>
      </c>
      <c r="C24" s="70"/>
      <c r="D24" s="70"/>
      <c r="E24" s="70"/>
      <c r="F24" s="70"/>
      <c r="G24" s="70"/>
      <c r="H24" s="70"/>
      <c r="I24" s="70"/>
      <c r="J24" s="70"/>
      <c r="K24" s="70"/>
      <c r="L24" s="70"/>
      <c r="M24" s="70"/>
      <c r="N24" s="70"/>
      <c r="O24" s="70"/>
      <c r="P24" s="70"/>
      <c r="Q24" s="70"/>
      <c r="R24" s="70"/>
      <c r="S24" s="70"/>
    </row>
    <row r="25" spans="1:20" ht="15" customHeight="1" x14ac:dyDescent="0.25">
      <c r="B25" s="70" t="str">
        <f>" - you have received income in advance, in "&amp;Controls!$C$4&amp;", for a good or service in "&amp;Controls!$C$5&amp;"."</f>
        <v xml:space="preserve"> - you have received income in advance, in 2021-22, for a good or service in 2022-23.</v>
      </c>
      <c r="C25" s="70"/>
      <c r="D25" s="70"/>
      <c r="E25" s="70"/>
      <c r="F25" s="70"/>
      <c r="G25" s="70"/>
      <c r="H25" s="70"/>
      <c r="I25" s="70"/>
      <c r="J25" s="70"/>
      <c r="K25" s="70"/>
      <c r="L25" s="70"/>
      <c r="M25" s="70"/>
      <c r="N25" s="70"/>
      <c r="O25" s="70"/>
      <c r="P25" s="70"/>
      <c r="Q25" s="70"/>
      <c r="R25" s="70"/>
      <c r="S25" s="70"/>
    </row>
    <row r="27" spans="1:20" x14ac:dyDescent="0.25">
      <c r="B27" s="16" t="s">
        <v>146</v>
      </c>
    </row>
    <row r="28" spans="1:20" ht="15.75" thickBot="1" x14ac:dyDescent="0.3"/>
    <row r="29" spans="1:20" ht="135.75" thickBot="1" x14ac:dyDescent="0.3">
      <c r="B29" s="52" t="s">
        <v>147</v>
      </c>
      <c r="C29" s="53" t="s">
        <v>148</v>
      </c>
      <c r="D29" s="53" t="s">
        <v>149</v>
      </c>
      <c r="E29" s="53" t="s">
        <v>150</v>
      </c>
      <c r="F29" s="53" t="s">
        <v>151</v>
      </c>
      <c r="G29" s="53" t="s">
        <v>203</v>
      </c>
      <c r="H29" s="53" t="s">
        <v>152</v>
      </c>
      <c r="I29" s="53" t="s">
        <v>153</v>
      </c>
      <c r="J29" s="53" t="s">
        <v>154</v>
      </c>
      <c r="K29" s="53" t="s">
        <v>155</v>
      </c>
      <c r="L29" s="53" t="s">
        <v>156</v>
      </c>
      <c r="M29" s="53" t="s">
        <v>157</v>
      </c>
      <c r="N29" s="53" t="s">
        <v>158</v>
      </c>
      <c r="O29" s="53" t="s">
        <v>159</v>
      </c>
      <c r="P29" s="53" t="s">
        <v>160</v>
      </c>
      <c r="Q29" s="53" t="s">
        <v>161</v>
      </c>
      <c r="R29" s="55" t="s">
        <v>162</v>
      </c>
      <c r="S29" s="55" t="str">
        <f>"Amount (£) in "&amp;Controls!$C$4&amp;" (Automatic)"</f>
        <v>Amount (£) in 2021-22 (Automatic)</v>
      </c>
      <c r="T29" s="56" t="str">
        <f>"Amount (£) in "&amp;Controls!$C$5&amp;" (Automatic)"</f>
        <v>Amount (£) in 2022-23 (Automatic)</v>
      </c>
    </row>
    <row r="30" spans="1:20" ht="75" x14ac:dyDescent="0.25">
      <c r="B30" s="60" t="s">
        <v>13</v>
      </c>
      <c r="C30" s="61" t="s">
        <v>14</v>
      </c>
      <c r="D30" s="60"/>
      <c r="E30" s="60"/>
      <c r="F30" s="61" t="s">
        <v>192</v>
      </c>
      <c r="G30" s="61" t="s">
        <v>122</v>
      </c>
      <c r="H30" s="61" t="s">
        <v>63</v>
      </c>
      <c r="I30" s="61" t="s">
        <v>163</v>
      </c>
      <c r="J30" s="60" t="s">
        <v>165</v>
      </c>
      <c r="K30" s="62">
        <v>35</v>
      </c>
      <c r="L30" s="60" t="s">
        <v>18</v>
      </c>
      <c r="M30" s="60" t="s">
        <v>19</v>
      </c>
      <c r="N30" s="61"/>
      <c r="O30" s="63">
        <v>44650</v>
      </c>
      <c r="P30" s="63"/>
      <c r="Q30" s="63"/>
      <c r="R30" s="64" t="str">
        <f>IF(P30="","",Q30-P30+1)</f>
        <v/>
      </c>
      <c r="S30" s="65">
        <f>K30-T30</f>
        <v>35</v>
      </c>
      <c r="T30" s="65">
        <f>IF(AND(L30="Goods",O30&lt;=Controls!$C$7),0,IF(L30="Services",IF(AND(L30="Goods",O30&gt;Controls!$C$7),1,IF(AND(L30="Goods",O30&lt;=Controls!$C$7),0,IF(AND(L30="Services",P30&gt;Controls!$C$7),Q30-P30+1,IF(AND(L30="Services",Q30&lt;=Controls!$C$7),0,IF(L30="Services",Q30-Controls!$C$7,0)))))/R30*K30,K30))</f>
        <v>0</v>
      </c>
    </row>
    <row r="31" spans="1:20" ht="105" x14ac:dyDescent="0.25">
      <c r="B31" s="17" t="s">
        <v>13</v>
      </c>
      <c r="C31" s="18" t="s">
        <v>14</v>
      </c>
      <c r="D31" s="17">
        <v>456123789</v>
      </c>
      <c r="E31" s="17">
        <v>5</v>
      </c>
      <c r="F31" s="18" t="s">
        <v>193</v>
      </c>
      <c r="G31" s="18" t="s">
        <v>95</v>
      </c>
      <c r="H31" s="18" t="s">
        <v>86</v>
      </c>
      <c r="I31" s="18"/>
      <c r="J31" s="17" t="s">
        <v>165</v>
      </c>
      <c r="K31" s="19">
        <v>97.48</v>
      </c>
      <c r="L31" s="17" t="s">
        <v>26</v>
      </c>
      <c r="M31" s="17" t="s">
        <v>19</v>
      </c>
      <c r="N31" s="18"/>
      <c r="O31" s="20"/>
      <c r="P31" s="20">
        <v>44612</v>
      </c>
      <c r="Q31" s="20">
        <v>44614</v>
      </c>
      <c r="R31" s="21">
        <f>IF(P31="","",Q31-P31+1)</f>
        <v>3</v>
      </c>
      <c r="S31" s="22">
        <f>K31-T31</f>
        <v>97.48</v>
      </c>
      <c r="T31" s="22">
        <f>IF(AND(L31="Goods",O31&lt;=Controls!$C$7),0,IF(L31="Services",IF(AND(L31="Goods",O31&gt;Controls!$C$7),1,IF(AND(L31="Goods",O31&lt;=Controls!$C$7),0,IF(AND(L31="Services",P31&gt;Controls!$C$7),Q31-P31+1,IF(AND(L31="Services",Q31&lt;=Controls!$C$7),0,IF(L31="Services",Q31-Controls!$C$7,0)))))/R31*K31,K31))</f>
        <v>0</v>
      </c>
    </row>
    <row r="32" spans="1:20" ht="75" x14ac:dyDescent="0.25">
      <c r="B32" s="17" t="s">
        <v>13</v>
      </c>
      <c r="C32" s="18" t="s">
        <v>22</v>
      </c>
      <c r="D32" s="17"/>
      <c r="E32" s="17"/>
      <c r="F32" s="18" t="s">
        <v>194</v>
      </c>
      <c r="G32" s="18" t="s">
        <v>130</v>
      </c>
      <c r="H32" s="18" t="s">
        <v>17</v>
      </c>
      <c r="I32" s="18" t="s">
        <v>199</v>
      </c>
      <c r="J32" s="17" t="s">
        <v>165</v>
      </c>
      <c r="K32" s="19">
        <v>450</v>
      </c>
      <c r="L32" s="17" t="s">
        <v>26</v>
      </c>
      <c r="M32" s="17" t="s">
        <v>27</v>
      </c>
      <c r="N32" s="18" t="s">
        <v>164</v>
      </c>
      <c r="O32" s="20"/>
      <c r="P32" s="20">
        <v>44593</v>
      </c>
      <c r="Q32" s="20">
        <v>44681</v>
      </c>
      <c r="R32" s="21">
        <f t="shared" ref="R32:R36" si="0">IF(P32="","",Q32-P32+1)</f>
        <v>89</v>
      </c>
      <c r="S32" s="22">
        <f t="shared" ref="S32:S36" si="1">K32-T32</f>
        <v>298.31460674157302</v>
      </c>
      <c r="T32" s="22">
        <f>IF(AND(L32="Goods",O32&lt;=Controls!$C$7),0,IF(L32="Services",IF(AND(L32="Goods",O32&gt;Controls!$C$7),1,IF(AND(L32="Goods",O32&lt;=Controls!$C$7),0,IF(AND(L32="Services",P32&gt;Controls!$C$7),Q32-P32+1,IF(AND(L32="Services",Q32&lt;=Controls!$C$7),0,IF(L32="Services",Q32-Controls!$C$7,0)))))/R32*K32,K32))</f>
        <v>151.68539325842696</v>
      </c>
    </row>
    <row r="33" spans="1:20" ht="90" x14ac:dyDescent="0.25">
      <c r="B33" s="17" t="s">
        <v>13</v>
      </c>
      <c r="C33" s="18" t="s">
        <v>14</v>
      </c>
      <c r="D33" s="17">
        <v>321654987</v>
      </c>
      <c r="E33" s="17">
        <v>1</v>
      </c>
      <c r="F33" s="18" t="s">
        <v>195</v>
      </c>
      <c r="G33" s="18" t="s">
        <v>58</v>
      </c>
      <c r="H33" s="18" t="s">
        <v>17</v>
      </c>
      <c r="I33" s="18"/>
      <c r="J33" s="17" t="s">
        <v>201</v>
      </c>
      <c r="K33" s="19">
        <v>1500</v>
      </c>
      <c r="L33" s="17" t="s">
        <v>26</v>
      </c>
      <c r="M33" s="17" t="s">
        <v>19</v>
      </c>
      <c r="N33" s="18"/>
      <c r="O33" s="20"/>
      <c r="P33" s="20">
        <v>44652</v>
      </c>
      <c r="Q33" s="20">
        <v>45016</v>
      </c>
      <c r="R33" s="21">
        <f t="shared" si="0"/>
        <v>365</v>
      </c>
      <c r="S33" s="22">
        <f t="shared" si="1"/>
        <v>0</v>
      </c>
      <c r="T33" s="22">
        <f>IF(AND(L33="Goods",O33&lt;=Controls!$C$7),0,IF(L33="Services",IF(AND(L33="Goods",O33&gt;Controls!$C$7),1,IF(AND(L33="Goods",O33&lt;=Controls!$C$7),0,IF(AND(L33="Services",P33&gt;Controls!$C$7),Q33-P33+1,IF(AND(L33="Services",Q33&lt;=Controls!$C$7),0,IF(L33="Services",Q33-Controls!$C$7,0)))))/R33*K33,K33))</f>
        <v>1500</v>
      </c>
    </row>
    <row r="34" spans="1:20" ht="90" x14ac:dyDescent="0.25">
      <c r="B34" s="17" t="s">
        <v>13</v>
      </c>
      <c r="C34" s="18" t="s">
        <v>22</v>
      </c>
      <c r="D34" s="17">
        <v>987654321</v>
      </c>
      <c r="E34" s="17">
        <v>4</v>
      </c>
      <c r="F34" s="18" t="s">
        <v>196</v>
      </c>
      <c r="G34" s="18" t="s">
        <v>66</v>
      </c>
      <c r="H34" s="18" t="s">
        <v>63</v>
      </c>
      <c r="I34" s="18"/>
      <c r="J34" s="17" t="s">
        <v>201</v>
      </c>
      <c r="K34" s="19">
        <v>100</v>
      </c>
      <c r="L34" s="17" t="s">
        <v>18</v>
      </c>
      <c r="M34" s="17" t="s">
        <v>19</v>
      </c>
      <c r="N34" s="18"/>
      <c r="O34" s="20">
        <v>44653</v>
      </c>
      <c r="P34" s="20"/>
      <c r="Q34" s="20"/>
      <c r="R34" s="21" t="str">
        <f t="shared" si="0"/>
        <v/>
      </c>
      <c r="S34" s="22">
        <f t="shared" si="1"/>
        <v>0</v>
      </c>
      <c r="T34" s="22">
        <f>IF(AND(L34="Goods",O34&lt;=Controls!$C$7),0,IF(L34="Services",IF(AND(L34="Goods",O34&gt;Controls!$C$7),1,IF(AND(L34="Goods",O34&lt;=Controls!$C$7),0,IF(AND(L34="Services",P34&gt;Controls!$C$7),Q34-P34+1,IF(AND(L34="Services",Q34&lt;=Controls!$C$7),0,IF(L34="Services",Q34-Controls!$C$7,0)))))/R34*K34,K34))</f>
        <v>100</v>
      </c>
    </row>
    <row r="35" spans="1:20" ht="90" x14ac:dyDescent="0.25">
      <c r="B35" s="17" t="s">
        <v>21</v>
      </c>
      <c r="C35" s="18" t="s">
        <v>21</v>
      </c>
      <c r="D35" s="17"/>
      <c r="E35" s="17"/>
      <c r="F35" s="18" t="s">
        <v>197</v>
      </c>
      <c r="G35" s="18" t="s">
        <v>87</v>
      </c>
      <c r="H35" s="18" t="s">
        <v>25</v>
      </c>
      <c r="I35" s="18" t="s">
        <v>200</v>
      </c>
      <c r="J35" s="17" t="s">
        <v>165</v>
      </c>
      <c r="K35" s="19">
        <v>65</v>
      </c>
      <c r="L35" s="17" t="s">
        <v>26</v>
      </c>
      <c r="M35" s="17" t="s">
        <v>19</v>
      </c>
      <c r="N35" s="18"/>
      <c r="O35" s="20"/>
      <c r="P35" s="20">
        <v>44630</v>
      </c>
      <c r="Q35" s="20">
        <v>44631</v>
      </c>
      <c r="R35" s="21">
        <f t="shared" si="0"/>
        <v>2</v>
      </c>
      <c r="S35" s="22">
        <f t="shared" si="1"/>
        <v>65</v>
      </c>
      <c r="T35" s="22">
        <f>IF(AND(L35="Goods",O35&lt;=Controls!$C$7),0,IF(L35="Services",IF(AND(L35="Goods",O35&gt;Controls!$C$7),1,IF(AND(L35="Goods",O35&lt;=Controls!$C$7),0,IF(AND(L35="Services",P35&gt;Controls!$C$7),Q35-P35+1,IF(AND(L35="Services",Q35&lt;=Controls!$C$7),0,IF(L35="Services",Q35-Controls!$C$7,0)))))/R35*K35,K35))</f>
        <v>0</v>
      </c>
    </row>
    <row r="36" spans="1:20" ht="75" x14ac:dyDescent="0.25">
      <c r="B36" s="17" t="s">
        <v>21</v>
      </c>
      <c r="C36" s="18" t="s">
        <v>14</v>
      </c>
      <c r="D36" s="17">
        <v>123456789</v>
      </c>
      <c r="E36" s="17">
        <v>1</v>
      </c>
      <c r="F36" s="18" t="s">
        <v>198</v>
      </c>
      <c r="G36" s="18" t="s">
        <v>116</v>
      </c>
      <c r="H36" s="18" t="s">
        <v>63</v>
      </c>
      <c r="I36" s="18"/>
      <c r="J36" s="17" t="s">
        <v>201</v>
      </c>
      <c r="K36" s="19">
        <v>300</v>
      </c>
      <c r="L36" s="17" t="s">
        <v>26</v>
      </c>
      <c r="M36" s="17" t="s">
        <v>19</v>
      </c>
      <c r="N36" s="18"/>
      <c r="O36" s="20"/>
      <c r="P36" s="20">
        <v>44652</v>
      </c>
      <c r="Q36" s="20">
        <v>44742</v>
      </c>
      <c r="R36" s="21">
        <f t="shared" si="0"/>
        <v>91</v>
      </c>
      <c r="S36" s="22">
        <f t="shared" si="1"/>
        <v>0</v>
      </c>
      <c r="T36" s="22">
        <f>IF(AND(L36="Goods",O36&lt;=Controls!$C$7),0,IF(L36="Services",IF(AND(L36="Goods",O36&gt;Controls!$C$7),1,IF(AND(L36="Goods",O36&lt;=Controls!$C$7),0,IF(AND(L36="Services",P36&gt;Controls!$C$7),Q36-P36+1,IF(AND(L36="Services",Q36&lt;=Controls!$C$7),0,IF(L36="Services",Q36-Controls!$C$7,0)))))/R36*K36,K36))</f>
        <v>300</v>
      </c>
    </row>
    <row r="38" spans="1:20" x14ac:dyDescent="0.25">
      <c r="B38" s="33" t="s">
        <v>166</v>
      </c>
    </row>
    <row r="41" spans="1:20" ht="24" customHeight="1" x14ac:dyDescent="0.3">
      <c r="A41" s="28"/>
      <c r="B41" s="38">
        <v>2</v>
      </c>
      <c r="C41" s="39" t="s">
        <v>167</v>
      </c>
      <c r="D41" s="15"/>
      <c r="E41" s="15"/>
      <c r="F41" s="15"/>
      <c r="G41" s="15"/>
      <c r="H41" s="15"/>
      <c r="I41" s="15"/>
      <c r="J41" s="15"/>
      <c r="K41" s="15"/>
      <c r="L41" s="15"/>
      <c r="M41" s="15"/>
      <c r="N41" s="15"/>
      <c r="O41" s="15"/>
      <c r="P41" s="15"/>
      <c r="Q41" s="15"/>
      <c r="R41" s="15"/>
      <c r="S41" s="15"/>
      <c r="T41" s="15"/>
    </row>
    <row r="43" spans="1:20" ht="15" customHeight="1" x14ac:dyDescent="0.25">
      <c r="B43" s="78" t="str">
        <f>"Please fill in this form to record costs that you wish to be paid to a staff member(s) during April or "&amp;TEXT(Controls!$C$10+31,"MMMM YYYY")&amp;" to ensure that the costs are allocated to the correct financial year."</f>
        <v>Please fill in this form to record costs that you wish to be paid to a staff member(s) during April or May 2022 to ensure that the costs are allocated to the correct financial year.</v>
      </c>
      <c r="C43" s="78"/>
      <c r="D43" s="78"/>
      <c r="E43" s="78"/>
      <c r="F43" s="78"/>
      <c r="G43" s="78"/>
      <c r="H43" s="78"/>
      <c r="I43" s="78"/>
      <c r="J43" s="78"/>
      <c r="K43" s="78"/>
      <c r="L43" s="78"/>
      <c r="M43" s="78"/>
      <c r="N43" s="78"/>
      <c r="O43" s="78"/>
      <c r="P43" s="78"/>
      <c r="Q43" s="78"/>
      <c r="R43" s="78"/>
      <c r="S43" s="78"/>
    </row>
    <row r="44" spans="1:20" ht="15" customHeight="1" x14ac:dyDescent="0.25">
      <c r="B44" s="70" t="str">
        <f>"Please note that IPSA will automatically allocate any timesheets and/or pay arrears paid in "&amp;TEXT(Controls!$C$10,"MMMM YYYY")&amp;" which relate to the "&amp;Controls!$C$4&amp;" financial year to your "&amp;Controls!$C$4&amp;" staffing budget. You do not need to complete this form for these payments. "</f>
        <v xml:space="preserve">Please note that IPSA will automatically allocate any timesheets and/or pay arrears paid in April 2022 which relate to the 2021-22 financial year to your 2021-22 staffing budget. You do not need to complete this form for these payments. </v>
      </c>
      <c r="C44" s="70"/>
      <c r="D44" s="70"/>
      <c r="E44" s="70"/>
      <c r="F44" s="70"/>
      <c r="G44" s="70"/>
      <c r="H44" s="70"/>
      <c r="I44" s="70"/>
      <c r="J44" s="70"/>
      <c r="K44" s="70"/>
      <c r="L44" s="70"/>
      <c r="M44" s="70"/>
      <c r="N44" s="70"/>
      <c r="O44" s="70"/>
      <c r="P44" s="70"/>
      <c r="Q44" s="70"/>
      <c r="R44" s="70"/>
      <c r="S44" s="70"/>
    </row>
    <row r="45" spans="1:20" ht="21.75" customHeight="1" x14ac:dyDescent="0.25">
      <c r="B45" s="70" t="str">
        <f>"However, the Year End Form must be completed and sent to IPSA by 23:59 on "&amp;Controls!$C$13&amp;" for the following:"</f>
        <v>However, the Year End Form must be completed and sent to IPSA by 23:59 on Thursday 14 April 2022 for the following:</v>
      </c>
      <c r="C45" s="70"/>
      <c r="D45" s="70"/>
      <c r="E45" s="70"/>
      <c r="F45" s="70"/>
      <c r="G45" s="70"/>
      <c r="H45" s="70"/>
      <c r="I45" s="70"/>
      <c r="J45" s="70"/>
      <c r="K45" s="70"/>
      <c r="L45" s="70"/>
      <c r="M45" s="70"/>
      <c r="N45" s="70"/>
      <c r="O45" s="70"/>
      <c r="P45" s="70"/>
      <c r="Q45" s="70"/>
      <c r="R45" s="70"/>
      <c r="S45" s="70"/>
    </row>
    <row r="46" spans="1:20" ht="15" customHeight="1" x14ac:dyDescent="0.25">
      <c r="B46" s="70" t="str">
        <f>" - reward and recognition payments to staff members that are to be paid in April and "&amp;TEXT(Controls!$C$10+31,"MMMM YYYY")&amp;" salaries, but which you want to allocate to your "&amp;Controls!$C$4&amp;" staffing budget"</f>
        <v xml:space="preserve"> - reward and recognition payments to staff members that are to be paid in April and May 2022 salaries, but which you want to allocate to your 2021-22 staffing budget</v>
      </c>
      <c r="C46" s="70"/>
      <c r="D46" s="70"/>
      <c r="E46" s="70"/>
      <c r="F46" s="70"/>
      <c r="G46" s="70"/>
      <c r="H46" s="70"/>
      <c r="I46" s="70"/>
      <c r="J46" s="70"/>
      <c r="K46" s="70"/>
      <c r="L46" s="70"/>
      <c r="M46" s="70"/>
      <c r="N46" s="70"/>
      <c r="O46" s="70"/>
      <c r="P46" s="70"/>
      <c r="Q46" s="70"/>
      <c r="R46" s="70"/>
      <c r="S46" s="70"/>
    </row>
    <row r="47" spans="1:20" ht="15" customHeight="1" x14ac:dyDescent="0.25">
      <c r="B47" s="70" t="str">
        <f>" - timesheets which are not submitted and authorised by 23:59 on "&amp;Controls!$C$13&amp;", that are to be paid in "&amp;TEXT(Controls!$C$10+31,"MMMM YYYY")&amp;" salaries, but which you want to allocate to your "&amp;Controls!$C$4&amp;" staffing budget"</f>
        <v xml:space="preserve"> - timesheets which are not submitted and authorised by 23:59 on Thursday 14 April 2022, that are to be paid in May 2022 salaries, but which you want to allocate to your 2021-22 staffing budget</v>
      </c>
      <c r="C47" s="70"/>
      <c r="D47" s="70"/>
      <c r="E47" s="70"/>
      <c r="F47" s="70"/>
      <c r="G47" s="70"/>
      <c r="H47" s="70"/>
      <c r="I47" s="70"/>
      <c r="J47" s="70"/>
      <c r="K47" s="70"/>
      <c r="L47" s="70"/>
      <c r="M47" s="70"/>
      <c r="N47" s="70"/>
      <c r="O47" s="70"/>
      <c r="P47" s="70"/>
      <c r="Q47" s="70"/>
      <c r="R47" s="70"/>
      <c r="S47" s="70"/>
    </row>
    <row r="48" spans="1:20" ht="15" customHeight="1" x14ac:dyDescent="0.25">
      <c r="B48" s="70" t="str">
        <f>" - any late pay arrears, that are to be paid in "&amp;TEXT(Controls!$C$10+31,"MMMM YYYY")&amp;" salaries, but which you want to allocate to your "&amp;Controls!$C$4&amp;" staffing budget"&amp;" (e.g. a "&amp;TEXT(Controls!$C$7,"MMMM")&amp;" new-starter staff member not paid at all until "&amp;TEXT(Controls!$C$10+31,"MMMM")&amp;", where you want the proportion of salary paid for "&amp;TEXT(Controls!$C$7,"MMMM YYYY")&amp;" to come from "&amp;Controls!$C$4&amp;" budget)."</f>
        <v xml:space="preserve"> - any late pay arrears, that are to be paid in May 2022 salaries, but which you want to allocate to your 2021-22 staffing budget (e.g. a March new-starter staff member not paid at all until May, where you want the proportion of salary paid for March 2022 to come from 2021-22 budget).</v>
      </c>
      <c r="C48" s="70"/>
      <c r="D48" s="70"/>
      <c r="E48" s="70"/>
      <c r="F48" s="70"/>
      <c r="G48" s="70"/>
      <c r="H48" s="70"/>
      <c r="I48" s="70"/>
      <c r="J48" s="70"/>
      <c r="K48" s="70"/>
      <c r="L48" s="70"/>
      <c r="M48" s="70"/>
      <c r="N48" s="70"/>
      <c r="O48" s="70"/>
      <c r="P48" s="70"/>
      <c r="Q48" s="70"/>
      <c r="R48" s="70"/>
      <c r="S48" s="70"/>
    </row>
    <row r="49" spans="2:19" ht="20.25" customHeight="1" x14ac:dyDescent="0.25">
      <c r="B49" s="69" t="s">
        <v>208</v>
      </c>
      <c r="C49" s="69"/>
      <c r="D49" s="69"/>
      <c r="E49" s="69"/>
      <c r="F49" s="69"/>
      <c r="G49" s="69"/>
      <c r="H49" s="69"/>
      <c r="I49" s="69"/>
      <c r="J49" s="69"/>
      <c r="K49" s="69"/>
      <c r="L49" s="69"/>
      <c r="M49" s="69"/>
      <c r="N49" s="69"/>
      <c r="O49" s="69"/>
      <c r="P49" s="69"/>
      <c r="Q49" s="69"/>
      <c r="R49" s="69"/>
      <c r="S49" s="69"/>
    </row>
    <row r="51" spans="2:19" x14ac:dyDescent="0.25">
      <c r="B51" s="16" t="s">
        <v>168</v>
      </c>
    </row>
    <row r="52" spans="2:19" ht="15.75" thickBot="1" x14ac:dyDescent="0.3"/>
    <row r="53" spans="2:19" ht="84" customHeight="1" thickBot="1" x14ac:dyDescent="0.3">
      <c r="B53" s="74" t="str">
        <f>"Details of staffing costs that will be paid in "&amp;Controls!$C$5&amp;" but are to be allocated to your "&amp;Controls!$C$4&amp;" staffing budget *"</f>
        <v>Details of staffing costs that will be paid in 2022-23 but are to be allocated to your 2021-22 staffing budget *</v>
      </c>
      <c r="C53" s="75"/>
      <c r="D53" s="53" t="s">
        <v>169</v>
      </c>
      <c r="E53" s="53" t="s">
        <v>152</v>
      </c>
      <c r="F53" s="53" t="s">
        <v>157</v>
      </c>
      <c r="G53" s="53" t="s">
        <v>170</v>
      </c>
      <c r="H53" s="55" t="s">
        <v>171</v>
      </c>
      <c r="I53" s="55" t="s">
        <v>172</v>
      </c>
      <c r="J53" s="56" t="s">
        <v>173</v>
      </c>
    </row>
    <row r="54" spans="2:19" x14ac:dyDescent="0.25">
      <c r="B54" s="71" t="s">
        <v>57</v>
      </c>
      <c r="C54" s="71"/>
      <c r="D54" s="60" t="s">
        <v>174</v>
      </c>
      <c r="E54" s="60" t="s">
        <v>83</v>
      </c>
      <c r="F54" s="60" t="s">
        <v>19</v>
      </c>
      <c r="G54" s="62">
        <v>520</v>
      </c>
      <c r="H54" s="65">
        <f>G54*13.8%</f>
        <v>71.760000000000005</v>
      </c>
      <c r="I54" s="65">
        <f>IF(OR(B54="Additional hours",B54="New starter",B54="Pay increase"),G54*10%,0)</f>
        <v>0</v>
      </c>
      <c r="J54" s="65">
        <f>SUM(G54:I54)</f>
        <v>591.76</v>
      </c>
    </row>
    <row r="55" spans="2:19" x14ac:dyDescent="0.25">
      <c r="B55" s="72" t="s">
        <v>33</v>
      </c>
      <c r="C55" s="73"/>
      <c r="D55" s="17" t="s">
        <v>175</v>
      </c>
      <c r="E55" s="17" t="s">
        <v>77</v>
      </c>
      <c r="F55" s="17" t="s">
        <v>27</v>
      </c>
      <c r="G55" s="19">
        <v>2000</v>
      </c>
      <c r="H55" s="22">
        <f>G55*13.8%</f>
        <v>276</v>
      </c>
      <c r="I55" s="22">
        <f>IF(OR(B55="Additional hours",B55="New starter",B55="Pay increase"),G55*10%,0)</f>
        <v>200</v>
      </c>
      <c r="J55" s="22">
        <f>SUM(G55:I55)</f>
        <v>2476</v>
      </c>
    </row>
    <row r="57" spans="2:19" x14ac:dyDescent="0.25">
      <c r="B57" s="33" t="s">
        <v>166</v>
      </c>
    </row>
  </sheetData>
  <sheetProtection algorithmName="SHA-512" hashValue="nMm6ulTDPqEsVbHmUBtwzu5YbW/+2J29qEP61lXHastppvS4CAvNtHi626BG42sf1QZZKgHGcit7V6dFVBtL3Q==" saltValue="hyUY9xNrEfe2U0fgz9SBBg==" spinCount="100000" sheet="1" objects="1" formatColumns="0" formatRows="0" selectLockedCells="1"/>
  <mergeCells count="23">
    <mergeCell ref="B9:S9"/>
    <mergeCell ref="B12:S12"/>
    <mergeCell ref="B11:S11"/>
    <mergeCell ref="B10:S10"/>
    <mergeCell ref="B14:S14"/>
    <mergeCell ref="B21:S21"/>
    <mergeCell ref="B43:S43"/>
    <mergeCell ref="B13:S13"/>
    <mergeCell ref="B15:S15"/>
    <mergeCell ref="B22:S22"/>
    <mergeCell ref="B24:S24"/>
    <mergeCell ref="B23:S23"/>
    <mergeCell ref="B16:S16"/>
    <mergeCell ref="B49:S49"/>
    <mergeCell ref="B48:S48"/>
    <mergeCell ref="B25:S25"/>
    <mergeCell ref="B54:C54"/>
    <mergeCell ref="B55:C55"/>
    <mergeCell ref="B44:S44"/>
    <mergeCell ref="B45:S45"/>
    <mergeCell ref="B53:C53"/>
    <mergeCell ref="B46:S46"/>
    <mergeCell ref="B47:S47"/>
  </mergeCells>
  <conditionalFormatting sqref="N30:N36">
    <cfRule type="expression" dxfId="17" priority="33">
      <formula>$M30="Actual"</formula>
    </cfRule>
  </conditionalFormatting>
  <conditionalFormatting sqref="P30:Q36">
    <cfRule type="expression" dxfId="16" priority="35">
      <formula>$L30="Goods"</formula>
    </cfRule>
  </conditionalFormatting>
  <conditionalFormatting sqref="O30:O36">
    <cfRule type="expression" dxfId="15" priority="37">
      <formula>$L30="Services"</formula>
    </cfRule>
  </conditionalFormatting>
  <dataValidations count="2">
    <dataValidation type="decimal" operator="greaterThan" allowBlank="1" showInputMessage="1" showErrorMessage="1" error="This field is mandatory, please enter the full value of the transaction as a positive integer" sqref="K30:K36" xr:uid="{AE37F959-E536-4E6B-9D1C-807C661F5411}">
      <formula1>0</formula1>
    </dataValidation>
    <dataValidation type="date" allowBlank="1" showInputMessage="1" showErrorMessage="1" sqref="O30:Q36" xr:uid="{580AE6DA-58BB-4921-8B09-DAECC2F6E558}">
      <formula1>40269</formula1>
      <formula2>47573</formula2>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error="This field is mandatory, please select from the drop-down list" prompt="Please select whether the transaction is an expense that you have/will incur or income that you have/will receive" xr:uid="{31C1FDD1-58B3-4EE9-8942-CC0CAE5789EB}">
          <x14:formula1>
            <xm:f>Controls!$E$5:$E$6</xm:f>
          </x14:formula1>
          <xm:sqref>B30:B36</xm:sqref>
        </x14:dataValidation>
        <x14:dataValidation type="list" allowBlank="1" showInputMessage="1" showErrorMessage="1" error="This field is mandatory, please select from the drop-down list" prompt="Please select the relevant expense/income category for the transaction" xr:uid="{89DF596F-7BB3-4D01-BCE1-1D0B9FD23C97}">
          <x14:formula1>
            <xm:f>Controls!$H$5:$H$71</xm:f>
          </x14:formula1>
          <xm:sqref>G30:G36</xm:sqref>
        </x14:dataValidation>
        <x14:dataValidation type="list" allowBlank="1" showInputMessage="1" showErrorMessage="1" error="This field is mandatory, please select from the drop-down list" prompt="Please select the financial year that you would like IPSA to record the transaction in (wholly or in part)" xr:uid="{00D2CD9D-CF0F-47D3-A79E-8EE186A0DB7A}">
          <x14:formula1>
            <xm:f>Controls!$K$5:$K$6</xm:f>
          </x14:formula1>
          <xm:sqref>J30:J36</xm:sqref>
        </x14:dataValidation>
        <x14:dataValidation type="list" allowBlank="1" showInputMessage="1" showErrorMessage="1" error="This field is mandatory, please select from the drop-down list" prompt="Please select whether the transaction is for a good or a service" xr:uid="{EF72F7E2-1BB4-46F4-AB71-66BE428F143D}">
          <x14:formula1>
            <xm:f>Controls!$L$5:$L$6</xm:f>
          </x14:formula1>
          <xm:sqref>L30:L36</xm:sqref>
        </x14:dataValidation>
        <x14:dataValidation type="list" allowBlank="1" showInputMessage="1" showErrorMessage="1" error="This field is mandatory, please select from the drop-down list" prompt="Please select whether the transaction is an actual amount or an estimated amount" xr:uid="{B7BAC440-E1B0-4FC5-9966-D4CB0F6DB9FE}">
          <x14:formula1>
            <xm:f>Controls!$M$5:$M$6</xm:f>
          </x14:formula1>
          <xm:sqref>F54:F55 M30:M36</xm:sqref>
        </x14:dataValidation>
        <x14:dataValidation type="list" allowBlank="1" showInputMessage="1" showErrorMessage="1" error="This field is mandatory, please select from the drop-down list" prompt="Please select the budget that the transaction is/will be met from" xr:uid="{782F1E2D-ABBA-4DB1-A125-813EABDFEAA1}">
          <x14:formula1>
            <xm:f>Controls!$J$5:$J$21</xm:f>
          </x14:formula1>
          <xm:sqref>H30:H36</xm:sqref>
        </x14:dataValidation>
        <x14:dataValidation type="list" allowBlank="1" showInputMessage="1" showErrorMessage="1" error="This field is mandatory, please select from the drop-down list" prompt="Please select the budget that the transaction is/will be met from" xr:uid="{FAA93BB9-94B2-4F79-858D-70DCB202EF72}">
          <x14:formula1>
            <xm:f>Controls!$J$23:$J$30</xm:f>
          </x14:formula1>
          <xm:sqref>E54:F55</xm:sqref>
        </x14:dataValidation>
        <x14:dataValidation type="list" allowBlank="1" showInputMessage="1" showErrorMessage="1" error="This field is mandatory, please select from the drop-down list" prompt="Please select the nature of the cost" xr:uid="{F821B0F1-5E43-4EBB-BEC4-A2130E3880EE}">
          <x14:formula1>
            <xm:f>Controls!$N$5:$N$12</xm:f>
          </x14:formula1>
          <xm:sqref>B54:C55</xm:sqref>
        </x14:dataValidation>
        <x14:dataValidation type="list" allowBlank="1" showInputMessage="1" showErrorMessage="1" error="This field is mandatory, please select from the drop-down list" prompt="Please select whether the transaction is a reimursement claim, a purchase from an IPSA payment card, or income/refund sent/to be sent direct to IPSA" xr:uid="{2C0DA5C4-C33E-4D8D-8B9C-8D681072CFAE}">
          <x14:formula1>
            <xm:f>Controls!$F$5:$F$7</xm:f>
          </x14:formula1>
          <xm:sqref>C30:C36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9FCDE-6438-49A2-B3FC-76B980B237DD}">
  <sheetPr>
    <tabColor theme="4"/>
  </sheetPr>
  <dimension ref="B3:T82"/>
  <sheetViews>
    <sheetView showGridLines="0" zoomScale="92" zoomScaleNormal="92" workbookViewId="0">
      <selection activeCell="C23" sqref="C23"/>
    </sheetView>
  </sheetViews>
  <sheetFormatPr defaultRowHeight="15" x14ac:dyDescent="0.25"/>
  <cols>
    <col min="1" max="1" width="3" customWidth="1"/>
    <col min="2" max="2" width="12.42578125" customWidth="1"/>
    <col min="3" max="3" width="14.5703125" customWidth="1"/>
    <col min="4" max="4" width="15.85546875" customWidth="1"/>
    <col min="5" max="5" width="12" customWidth="1"/>
    <col min="6" max="6" width="37.5703125" customWidth="1"/>
    <col min="7" max="7" width="15.28515625" customWidth="1"/>
    <col min="8" max="8" width="26.140625" customWidth="1"/>
    <col min="9" max="9" width="18.5703125" customWidth="1"/>
    <col min="10" max="10" width="12" customWidth="1"/>
    <col min="11" max="11" width="10.85546875" customWidth="1"/>
    <col min="12" max="12" width="12" customWidth="1"/>
    <col min="13" max="13" width="16.7109375" customWidth="1"/>
    <col min="14" max="15" width="11.5703125" customWidth="1"/>
    <col min="16" max="17" width="11.85546875" customWidth="1"/>
    <col min="18" max="18" width="11.7109375" customWidth="1"/>
    <col min="19" max="19" width="11.28515625" customWidth="1"/>
    <col min="20" max="20" width="11.140625" customWidth="1"/>
  </cols>
  <sheetData>
    <row r="3" spans="2:19" ht="36" x14ac:dyDescent="0.55000000000000004">
      <c r="B3" s="2" t="s">
        <v>176</v>
      </c>
    </row>
    <row r="7" spans="2:19" ht="15.75" x14ac:dyDescent="0.25">
      <c r="B7" s="5" t="str">
        <f>"Please send this form to IPSA by 23:59 on "&amp;Controls!$C$13&amp;" to "&amp;Controls!$C$15&amp;"."</f>
        <v>Please send this form to IPSA by 23:59 on Thursday 14 April 2022 to info@theipsa.org.uk.</v>
      </c>
    </row>
    <row r="8" spans="2:19" ht="15.75" x14ac:dyDescent="0.25">
      <c r="B8" s="5" t="str">
        <f>Guidance!$B$7</f>
        <v>Anything sent after the deadline will not be considered.</v>
      </c>
    </row>
    <row r="10" spans="2:19" x14ac:dyDescent="0.25">
      <c r="B10" s="76" t="s">
        <v>204</v>
      </c>
      <c r="C10" s="77"/>
      <c r="D10" s="77"/>
      <c r="E10" s="77"/>
      <c r="F10" s="77"/>
      <c r="G10" s="77"/>
      <c r="H10" s="77"/>
      <c r="I10" s="77"/>
      <c r="J10" s="77"/>
      <c r="K10" s="77"/>
      <c r="L10" s="77"/>
      <c r="M10" s="77"/>
      <c r="N10" s="77"/>
      <c r="O10" s="77"/>
      <c r="P10" s="77"/>
      <c r="Q10" s="77"/>
      <c r="R10" s="77"/>
      <c r="S10" s="77"/>
    </row>
    <row r="11" spans="2:19" ht="15" customHeight="1" x14ac:dyDescent="0.25">
      <c r="B11" s="70" t="str">
        <f>" - where an invoice is not yet available and you are unable to submit a claim or reconcile your payment card lines before the submission deadline of "&amp;TEXT(Controls!$C$12,"dd mmmm")&amp;"; or"</f>
        <v xml:space="preserve"> - where an invoice is not yet available and you are unable to submit a claim or reconcile your payment card lines before the submission deadline of 14 April; or</v>
      </c>
      <c r="C11" s="70"/>
      <c r="D11" s="70"/>
      <c r="E11" s="70"/>
      <c r="F11" s="70"/>
      <c r="G11" s="70"/>
      <c r="H11" s="70"/>
      <c r="I11" s="70"/>
      <c r="J11" s="70"/>
      <c r="K11" s="70"/>
      <c r="L11" s="70"/>
      <c r="M11" s="70"/>
      <c r="N11" s="70"/>
      <c r="O11" s="70"/>
      <c r="P11" s="70"/>
      <c r="Q11" s="70"/>
      <c r="R11" s="70"/>
      <c r="S11" s="70"/>
    </row>
    <row r="12" spans="2:19" ht="15" customHeight="1" x14ac:dyDescent="0.25">
      <c r="B12" s="70" t="str">
        <f>" - where the service has been paid for in advance (and will be received in part or full on or after "&amp;TEXT(Controls!$C$10,"d mmmm yyyy")&amp;"), either by reimubursement or payment card and where the costs need to be allocated in full or in part to your "&amp;Controls!$C$5&amp;" budgets; or"</f>
        <v xml:space="preserve"> - where the service has been paid for in advance (and will be received in part or full on or after 1 April 2022), either by reimubursement or payment card and where the costs need to be allocated in full or in part to your 2022-23 budgets; or</v>
      </c>
      <c r="C12" s="70"/>
      <c r="D12" s="70"/>
      <c r="E12" s="70"/>
      <c r="F12" s="70"/>
      <c r="G12" s="70"/>
      <c r="H12" s="70"/>
      <c r="I12" s="70"/>
      <c r="J12" s="70"/>
      <c r="K12" s="70"/>
      <c r="L12" s="70"/>
      <c r="M12" s="70"/>
      <c r="N12" s="70"/>
      <c r="O12" s="70"/>
      <c r="P12" s="70"/>
      <c r="Q12" s="70"/>
      <c r="R12" s="70"/>
      <c r="S12" s="70"/>
    </row>
    <row r="13" spans="2:19" ht="15" customHeight="1" x14ac:dyDescent="0.25">
      <c r="B13" s="70" t="str">
        <f>" - you have received income relating to a good/service in "&amp;Controls!$C$4&amp;" but IPSA are only due to receive the funds in the new financial year ("&amp;TEXT(Controls!$C$10,"d mmmm yyyy")&amp;" to "&amp;TEXT(Controls!$C$9,"d mmmm yyyy")&amp;"); or"</f>
        <v xml:space="preserve"> - you have received income relating to a good/service in 2021-22 but IPSA are only due to receive the funds in the new financial year (1 April 2022 to 31 March 2023); or</v>
      </c>
      <c r="C13" s="70"/>
      <c r="D13" s="70"/>
      <c r="E13" s="70"/>
      <c r="F13" s="70"/>
      <c r="G13" s="70"/>
      <c r="H13" s="70"/>
      <c r="I13" s="70"/>
      <c r="J13" s="70"/>
      <c r="K13" s="70"/>
      <c r="L13" s="70"/>
      <c r="M13" s="70"/>
      <c r="N13" s="70"/>
      <c r="O13" s="70"/>
      <c r="P13" s="70"/>
      <c r="Q13" s="70"/>
      <c r="R13" s="70"/>
      <c r="S13" s="70"/>
    </row>
    <row r="14" spans="2:19" ht="15" customHeight="1" x14ac:dyDescent="0.25">
      <c r="B14" s="70" t="str">
        <f>" - you have received income in advance, in "&amp;Controls!$C$4&amp;", for a good or service in "&amp;Controls!$C$5&amp;"."</f>
        <v xml:space="preserve"> - you have received income in advance, in 2021-22, for a good or service in 2022-23.</v>
      </c>
      <c r="C14" s="70"/>
      <c r="D14" s="70"/>
      <c r="E14" s="70"/>
      <c r="F14" s="70"/>
      <c r="G14" s="70"/>
      <c r="H14" s="70"/>
      <c r="I14" s="70"/>
      <c r="J14" s="70"/>
      <c r="K14" s="70"/>
      <c r="L14" s="70"/>
      <c r="M14" s="70"/>
      <c r="N14" s="70"/>
      <c r="O14" s="70"/>
      <c r="P14" s="70"/>
      <c r="Q14" s="70"/>
      <c r="R14" s="70"/>
      <c r="S14" s="70"/>
    </row>
    <row r="15" spans="2:19" ht="21.75" customHeight="1" x14ac:dyDescent="0.25">
      <c r="B15" s="86" t="s">
        <v>142</v>
      </c>
      <c r="C15" s="86"/>
      <c r="D15" s="86"/>
      <c r="E15" s="86"/>
      <c r="F15" s="86"/>
      <c r="G15" s="86"/>
      <c r="H15" s="86"/>
      <c r="I15" s="86"/>
      <c r="J15" s="86"/>
      <c r="K15" s="86"/>
      <c r="L15" s="86"/>
      <c r="M15" s="86"/>
      <c r="N15" s="86"/>
      <c r="O15" s="86"/>
      <c r="P15" s="86"/>
      <c r="Q15" s="86"/>
      <c r="R15" s="86"/>
      <c r="S15" s="86"/>
    </row>
    <row r="16" spans="2:19" ht="16.5" customHeight="1" x14ac:dyDescent="0.25">
      <c r="B16" s="86" t="s">
        <v>206</v>
      </c>
      <c r="C16" s="86"/>
      <c r="D16" s="86"/>
      <c r="E16" s="86"/>
      <c r="F16" s="86"/>
      <c r="G16" s="86"/>
      <c r="H16" s="86"/>
      <c r="I16" s="86"/>
      <c r="J16" s="86"/>
      <c r="K16" s="86"/>
      <c r="L16" s="86"/>
      <c r="M16" s="86"/>
      <c r="N16" s="86"/>
      <c r="O16" s="86"/>
      <c r="P16" s="86"/>
      <c r="Q16" s="86"/>
      <c r="R16" s="86"/>
      <c r="S16" s="86"/>
    </row>
    <row r="17" spans="2:20" ht="16.5" customHeight="1" x14ac:dyDescent="0.25">
      <c r="B17" s="86" t="s">
        <v>205</v>
      </c>
      <c r="C17" s="86"/>
      <c r="D17" s="86"/>
      <c r="E17" s="86"/>
      <c r="F17" s="86"/>
      <c r="G17" s="86"/>
      <c r="H17" s="86"/>
      <c r="I17" s="86"/>
      <c r="J17" s="86"/>
      <c r="K17" s="86"/>
      <c r="L17" s="86"/>
      <c r="M17" s="86"/>
      <c r="N17" s="86"/>
      <c r="O17" s="86"/>
      <c r="P17" s="86"/>
      <c r="Q17" s="86"/>
      <c r="R17" s="86"/>
      <c r="S17" s="86"/>
    </row>
    <row r="18" spans="2:20" x14ac:dyDescent="0.25">
      <c r="B18" s="77" t="s">
        <v>207</v>
      </c>
      <c r="C18" s="77"/>
      <c r="D18" s="77"/>
      <c r="E18" s="77"/>
      <c r="F18" s="77"/>
      <c r="G18" s="77"/>
      <c r="H18" s="77"/>
      <c r="I18" s="77"/>
      <c r="J18" s="77"/>
      <c r="K18" s="77"/>
      <c r="L18" s="77"/>
      <c r="M18" s="77"/>
      <c r="N18" s="77"/>
      <c r="O18" s="77"/>
      <c r="P18" s="77"/>
      <c r="Q18" s="77"/>
      <c r="R18" s="77"/>
      <c r="S18" s="77"/>
    </row>
    <row r="19" spans="2:20" x14ac:dyDescent="0.25">
      <c r="B19" s="35"/>
      <c r="C19" s="35"/>
      <c r="D19" s="35"/>
      <c r="E19" s="35"/>
      <c r="F19" s="35"/>
      <c r="G19" s="35"/>
      <c r="H19" s="35"/>
      <c r="I19" s="35"/>
      <c r="J19" s="35"/>
      <c r="K19" s="35"/>
      <c r="L19" s="35"/>
      <c r="M19" s="35"/>
      <c r="N19" s="35"/>
      <c r="O19" s="35"/>
      <c r="P19" s="35"/>
      <c r="Q19" s="35"/>
      <c r="R19" s="35"/>
      <c r="S19" s="35"/>
    </row>
    <row r="20" spans="2:20" ht="15.75" thickBot="1" x14ac:dyDescent="0.3"/>
    <row r="21" spans="2:20" ht="135.75" thickBot="1" x14ac:dyDescent="0.3">
      <c r="B21" s="52" t="s">
        <v>147</v>
      </c>
      <c r="C21" s="53" t="s">
        <v>148</v>
      </c>
      <c r="D21" s="53" t="s">
        <v>149</v>
      </c>
      <c r="E21" s="53" t="s">
        <v>150</v>
      </c>
      <c r="F21" s="53" t="s">
        <v>151</v>
      </c>
      <c r="G21" s="53" t="s">
        <v>203</v>
      </c>
      <c r="H21" s="53" t="s">
        <v>152</v>
      </c>
      <c r="I21" s="53" t="s">
        <v>153</v>
      </c>
      <c r="J21" s="53" t="s">
        <v>154</v>
      </c>
      <c r="K21" s="53" t="s">
        <v>155</v>
      </c>
      <c r="L21" s="53" t="s">
        <v>156</v>
      </c>
      <c r="M21" s="53" t="s">
        <v>157</v>
      </c>
      <c r="N21" s="53" t="s">
        <v>158</v>
      </c>
      <c r="O21" s="53" t="s">
        <v>159</v>
      </c>
      <c r="P21" s="53" t="s">
        <v>177</v>
      </c>
      <c r="Q21" s="53" t="s">
        <v>161</v>
      </c>
      <c r="R21" s="54" t="s">
        <v>162</v>
      </c>
      <c r="S21" s="55" t="str">
        <f>"Amount (£) in "&amp;Controls!$C$4&amp;" (Automatic)"</f>
        <v>Amount (£) in 2021-22 (Automatic)</v>
      </c>
      <c r="T21" s="56" t="str">
        <f>"Amount (£) in "&amp;Controls!$C$5&amp;" (Automatic)"</f>
        <v>Amount (£) in 2022-23 (Automatic)</v>
      </c>
    </row>
    <row r="22" spans="2:20" x14ac:dyDescent="0.25">
      <c r="B22" s="45"/>
      <c r="C22" s="45"/>
      <c r="D22" s="45"/>
      <c r="E22" s="45"/>
      <c r="F22" s="45"/>
      <c r="G22" s="45"/>
      <c r="H22" s="45"/>
      <c r="I22" s="45"/>
      <c r="J22" s="46"/>
      <c r="K22" s="47"/>
      <c r="L22" s="48"/>
      <c r="M22" s="48"/>
      <c r="N22" s="45"/>
      <c r="O22" s="49"/>
      <c r="P22" s="49"/>
      <c r="Q22" s="49"/>
      <c r="R22" s="50" t="str">
        <f>IF(P22="","",Q22-P22+1)</f>
        <v/>
      </c>
      <c r="S22" s="51">
        <f>K22-T22</f>
        <v>0</v>
      </c>
      <c r="T22" s="51">
        <f>IF(AND(L22="Goods",O22&lt;=Controls!$C$7),0,IF(L22="Services",IF(AND(L22="Goods",O22&gt;Controls!$C$7),1,IF(AND(L22="Goods",O22&lt;=Controls!$C$7),0,IF(AND(L22="Services",P22&gt;Controls!$C$7),Q22-P22+1,IF(AND(L22="Services",Q22&lt;=Controls!$C$7),0,IF(L22="Services",Q22-Controls!$C$7,0)))))/R22*K22,K22))</f>
        <v>0</v>
      </c>
    </row>
    <row r="23" spans="2:20" x14ac:dyDescent="0.25">
      <c r="B23" s="12"/>
      <c r="C23" s="12"/>
      <c r="D23" s="12"/>
      <c r="E23" s="12"/>
      <c r="F23" s="12"/>
      <c r="G23" s="12"/>
      <c r="H23" s="12"/>
      <c r="I23" s="12"/>
      <c r="J23" s="36"/>
      <c r="K23" s="7"/>
      <c r="L23" s="6"/>
      <c r="M23" s="6"/>
      <c r="N23" s="12"/>
      <c r="O23" s="8"/>
      <c r="P23" s="8"/>
      <c r="Q23" s="8"/>
      <c r="R23" s="3" t="str">
        <f t="shared" ref="R23:R61" si="0">IF(P23="","",Q23-P23+1)</f>
        <v/>
      </c>
      <c r="S23" s="4">
        <f t="shared" ref="S23:S61" si="1">K23-T23</f>
        <v>0</v>
      </c>
      <c r="T23" s="4">
        <f>IF(AND(L23="Goods",O23&lt;=Controls!$C$7),0,IF(L23="Services",IF(AND(L23="Goods",O23&gt;Controls!$C$7),1,IF(AND(L23="Goods",O23&lt;=Controls!$C$7),0,IF(AND(L23="Services",P23&gt;Controls!$C$7),Q23-P23+1,IF(AND(L23="Services",Q23&lt;=Controls!$C$7),0,IF(L23="Services",Q23-Controls!$C$7,0)))))/R23*K23,K23))</f>
        <v>0</v>
      </c>
    </row>
    <row r="24" spans="2:20" x14ac:dyDescent="0.25">
      <c r="B24" s="12"/>
      <c r="C24" s="12"/>
      <c r="D24" s="12"/>
      <c r="E24" s="12"/>
      <c r="F24" s="12"/>
      <c r="G24" s="12"/>
      <c r="H24" s="12"/>
      <c r="I24" s="12"/>
      <c r="J24" s="36"/>
      <c r="K24" s="7"/>
      <c r="L24" s="6"/>
      <c r="M24" s="6"/>
      <c r="N24" s="12"/>
      <c r="O24" s="8"/>
      <c r="P24" s="8"/>
      <c r="Q24" s="8"/>
      <c r="R24" s="3" t="str">
        <f t="shared" si="0"/>
        <v/>
      </c>
      <c r="S24" s="4">
        <f t="shared" si="1"/>
        <v>0</v>
      </c>
      <c r="T24" s="4">
        <f>IF(AND(L24="Goods",O24&lt;=Controls!$C$7),0,IF(L24="Services",IF(AND(L24="Goods",O24&gt;Controls!$C$7),1,IF(AND(L24="Goods",O24&lt;=Controls!$C$7),0,IF(AND(L24="Services",P24&gt;Controls!$C$7),Q24-P24+1,IF(AND(L24="Services",Q24&lt;=Controls!$C$7),0,IF(L24="Services",Q24-Controls!$C$7,0)))))/R24*K24,K24))</f>
        <v>0</v>
      </c>
    </row>
    <row r="25" spans="2:20" x14ac:dyDescent="0.25">
      <c r="B25" s="12"/>
      <c r="C25" s="12"/>
      <c r="D25" s="12"/>
      <c r="E25" s="12"/>
      <c r="F25" s="12"/>
      <c r="G25" s="12"/>
      <c r="H25" s="12"/>
      <c r="I25" s="12"/>
      <c r="J25" s="36"/>
      <c r="K25" s="7"/>
      <c r="L25" s="6"/>
      <c r="M25" s="6"/>
      <c r="N25" s="12"/>
      <c r="O25" s="8"/>
      <c r="P25" s="8"/>
      <c r="Q25" s="8"/>
      <c r="R25" s="3" t="str">
        <f t="shared" si="0"/>
        <v/>
      </c>
      <c r="S25" s="4">
        <f t="shared" si="1"/>
        <v>0</v>
      </c>
      <c r="T25" s="4">
        <f>IF(AND(L25="Goods",O25&lt;=Controls!$C$7),0,IF(L25="Services",IF(AND(L25="Goods",O25&gt;Controls!$C$7),1,IF(AND(L25="Goods",O25&lt;=Controls!$C$7),0,IF(AND(L25="Services",P25&gt;Controls!$C$7),Q25-P25+1,IF(AND(L25="Services",Q25&lt;=Controls!$C$7),0,IF(L25="Services",Q25-Controls!$C$7,0)))))/R25*K25,K25))</f>
        <v>0</v>
      </c>
    </row>
    <row r="26" spans="2:20" x14ac:dyDescent="0.25">
      <c r="B26" s="12"/>
      <c r="C26" s="12"/>
      <c r="D26" s="12"/>
      <c r="E26" s="12"/>
      <c r="F26" s="12"/>
      <c r="G26" s="12"/>
      <c r="H26" s="12"/>
      <c r="I26" s="12"/>
      <c r="J26" s="36"/>
      <c r="K26" s="7"/>
      <c r="L26" s="6"/>
      <c r="M26" s="6"/>
      <c r="N26" s="12"/>
      <c r="O26" s="8"/>
      <c r="P26" s="8"/>
      <c r="Q26" s="8"/>
      <c r="R26" s="3" t="str">
        <f t="shared" ref="R26:R59" si="2">IF(P26="","",Q26-P26+1)</f>
        <v/>
      </c>
      <c r="S26" s="4">
        <f t="shared" ref="S26:S59" si="3">K26-T26</f>
        <v>0</v>
      </c>
      <c r="T26" s="4">
        <f>IF(AND(L26="Goods",O26&lt;=Controls!$C$7),0,IF(L26="Services",IF(AND(L26="Goods",O26&gt;Controls!$C$7),1,IF(AND(L26="Goods",O26&lt;=Controls!$C$7),0,IF(AND(L26="Services",P26&gt;Controls!$C$7),Q26-P26+1,IF(AND(L26="Services",Q26&lt;=Controls!$C$7),0,IF(L26="Services",Q26-Controls!$C$7,0)))))/R26*K26,K26))</f>
        <v>0</v>
      </c>
    </row>
    <row r="27" spans="2:20" x14ac:dyDescent="0.25">
      <c r="B27" s="12"/>
      <c r="C27" s="12"/>
      <c r="D27" s="12"/>
      <c r="E27" s="12"/>
      <c r="F27" s="12"/>
      <c r="G27" s="12"/>
      <c r="H27" s="12"/>
      <c r="I27" s="12"/>
      <c r="J27" s="36"/>
      <c r="K27" s="7"/>
      <c r="L27" s="6"/>
      <c r="M27" s="6"/>
      <c r="N27" s="12"/>
      <c r="O27" s="8"/>
      <c r="P27" s="8"/>
      <c r="Q27" s="8"/>
      <c r="R27" s="3" t="str">
        <f t="shared" si="2"/>
        <v/>
      </c>
      <c r="S27" s="4">
        <f t="shared" si="3"/>
        <v>0</v>
      </c>
      <c r="T27" s="4">
        <f>IF(AND(L27="Goods",O27&lt;=Controls!$C$7),0,IF(L27="Services",IF(AND(L27="Goods",O27&gt;Controls!$C$7),1,IF(AND(L27="Goods",O27&lt;=Controls!$C$7),0,IF(AND(L27="Services",P27&gt;Controls!$C$7),Q27-P27+1,IF(AND(L27="Services",Q27&lt;=Controls!$C$7),0,IF(L27="Services",Q27-Controls!$C$7,0)))))/R27*K27,K27))</f>
        <v>0</v>
      </c>
    </row>
    <row r="28" spans="2:20" x14ac:dyDescent="0.25">
      <c r="B28" s="12"/>
      <c r="C28" s="12"/>
      <c r="D28" s="12"/>
      <c r="E28" s="12"/>
      <c r="F28" s="12"/>
      <c r="G28" s="12"/>
      <c r="H28" s="12"/>
      <c r="I28" s="12"/>
      <c r="J28" s="36"/>
      <c r="K28" s="7"/>
      <c r="L28" s="6"/>
      <c r="M28" s="6"/>
      <c r="N28" s="12"/>
      <c r="O28" s="8"/>
      <c r="P28" s="8"/>
      <c r="Q28" s="8"/>
      <c r="R28" s="3" t="str">
        <f t="shared" si="2"/>
        <v/>
      </c>
      <c r="S28" s="4">
        <f t="shared" si="3"/>
        <v>0</v>
      </c>
      <c r="T28" s="4">
        <f>IF(AND(L28="Goods",O28&lt;=Controls!$C$7),0,IF(L28="Services",IF(AND(L28="Goods",O28&gt;Controls!$C$7),1,IF(AND(L28="Goods",O28&lt;=Controls!$C$7),0,IF(AND(L28="Services",P28&gt;Controls!$C$7),Q28-P28+1,IF(AND(L28="Services",Q28&lt;=Controls!$C$7),0,IF(L28="Services",Q28-Controls!$C$7,0)))))/R28*K28,K28))</f>
        <v>0</v>
      </c>
    </row>
    <row r="29" spans="2:20" x14ac:dyDescent="0.25">
      <c r="B29" s="12"/>
      <c r="C29" s="12"/>
      <c r="D29" s="12"/>
      <c r="E29" s="12"/>
      <c r="F29" s="12"/>
      <c r="G29" s="12"/>
      <c r="H29" s="12"/>
      <c r="I29" s="12"/>
      <c r="J29" s="36"/>
      <c r="K29" s="7"/>
      <c r="L29" s="6"/>
      <c r="M29" s="6"/>
      <c r="N29" s="12"/>
      <c r="O29" s="8"/>
      <c r="P29" s="8"/>
      <c r="Q29" s="8"/>
      <c r="R29" s="3" t="str">
        <f t="shared" ref="R29:R58" si="4">IF(P29="","",Q29-P29+1)</f>
        <v/>
      </c>
      <c r="S29" s="4">
        <f t="shared" ref="S29:S58" si="5">K29-T29</f>
        <v>0</v>
      </c>
      <c r="T29" s="4">
        <f>IF(AND(L29="Goods",O29&lt;=Controls!$C$7),0,IF(L29="Services",IF(AND(L29="Goods",O29&gt;Controls!$C$7),1,IF(AND(L29="Goods",O29&lt;=Controls!$C$7),0,IF(AND(L29="Services",P29&gt;Controls!$C$7),Q29-P29+1,IF(AND(L29="Services",Q29&lt;=Controls!$C$7),0,IF(L29="Services",Q29-Controls!$C$7,0)))))/R29*K29,K29))</f>
        <v>0</v>
      </c>
    </row>
    <row r="30" spans="2:20" x14ac:dyDescent="0.25">
      <c r="B30" s="12"/>
      <c r="C30" s="12"/>
      <c r="D30" s="12"/>
      <c r="E30" s="12"/>
      <c r="F30" s="12"/>
      <c r="G30" s="12"/>
      <c r="H30" s="12"/>
      <c r="I30" s="12"/>
      <c r="J30" s="36"/>
      <c r="K30" s="7"/>
      <c r="L30" s="6"/>
      <c r="M30" s="6"/>
      <c r="N30" s="12"/>
      <c r="O30" s="8"/>
      <c r="P30" s="8"/>
      <c r="Q30" s="8"/>
      <c r="R30" s="3" t="str">
        <f t="shared" si="4"/>
        <v/>
      </c>
      <c r="S30" s="4">
        <f t="shared" si="5"/>
        <v>0</v>
      </c>
      <c r="T30" s="4">
        <f>IF(AND(L30="Goods",O30&lt;=Controls!$C$7),0,IF(L30="Services",IF(AND(L30="Goods",O30&gt;Controls!$C$7),1,IF(AND(L30="Goods",O30&lt;=Controls!$C$7),0,IF(AND(L30="Services",P30&gt;Controls!$C$7),Q30-P30+1,IF(AND(L30="Services",Q30&lt;=Controls!$C$7),0,IF(L30="Services",Q30-Controls!$C$7,0)))))/R30*K30,K30))</f>
        <v>0</v>
      </c>
    </row>
    <row r="31" spans="2:20" x14ac:dyDescent="0.25">
      <c r="B31" s="12"/>
      <c r="C31" s="12"/>
      <c r="D31" s="12"/>
      <c r="E31" s="12"/>
      <c r="F31" s="12"/>
      <c r="G31" s="12"/>
      <c r="H31" s="12"/>
      <c r="I31" s="12"/>
      <c r="J31" s="36"/>
      <c r="K31" s="7"/>
      <c r="L31" s="6"/>
      <c r="M31" s="6"/>
      <c r="N31" s="12"/>
      <c r="O31" s="8"/>
      <c r="P31" s="8"/>
      <c r="Q31" s="8"/>
      <c r="R31" s="3" t="str">
        <f t="shared" si="4"/>
        <v/>
      </c>
      <c r="S31" s="4">
        <f t="shared" si="5"/>
        <v>0</v>
      </c>
      <c r="T31" s="4">
        <f>IF(AND(L31="Goods",O31&lt;=Controls!$C$7),0,IF(L31="Services",IF(AND(L31="Goods",O31&gt;Controls!$C$7),1,IF(AND(L31="Goods",O31&lt;=Controls!$C$7),0,IF(AND(L31="Services",P31&gt;Controls!$C$7),Q31-P31+1,IF(AND(L31="Services",Q31&lt;=Controls!$C$7),0,IF(L31="Services",Q31-Controls!$C$7,0)))))/R31*K31,K31))</f>
        <v>0</v>
      </c>
    </row>
    <row r="32" spans="2:20" x14ac:dyDescent="0.25">
      <c r="B32" s="12"/>
      <c r="C32" s="12"/>
      <c r="D32" s="12"/>
      <c r="E32" s="12"/>
      <c r="F32" s="12"/>
      <c r="G32" s="12"/>
      <c r="H32" s="12"/>
      <c r="I32" s="12"/>
      <c r="J32" s="36"/>
      <c r="K32" s="7"/>
      <c r="L32" s="6"/>
      <c r="M32" s="6"/>
      <c r="N32" s="12"/>
      <c r="O32" s="8"/>
      <c r="P32" s="8"/>
      <c r="Q32" s="8"/>
      <c r="R32" s="3" t="str">
        <f t="shared" si="4"/>
        <v/>
      </c>
      <c r="S32" s="4">
        <f t="shared" si="5"/>
        <v>0</v>
      </c>
      <c r="T32" s="4">
        <f>IF(AND(L32="Goods",O32&lt;=Controls!$C$7),0,IF(L32="Services",IF(AND(L32="Goods",O32&gt;Controls!$C$7),1,IF(AND(L32="Goods",O32&lt;=Controls!$C$7),0,IF(AND(L32="Services",P32&gt;Controls!$C$7),Q32-P32+1,IF(AND(L32="Services",Q32&lt;=Controls!$C$7),0,IF(L32="Services",Q32-Controls!$C$7,0)))))/R32*K32,K32))</f>
        <v>0</v>
      </c>
    </row>
    <row r="33" spans="2:20" x14ac:dyDescent="0.25">
      <c r="B33" s="12"/>
      <c r="C33" s="12"/>
      <c r="D33" s="12"/>
      <c r="E33" s="12"/>
      <c r="F33" s="12"/>
      <c r="G33" s="12"/>
      <c r="H33" s="12"/>
      <c r="I33" s="12"/>
      <c r="J33" s="36"/>
      <c r="K33" s="7"/>
      <c r="L33" s="6"/>
      <c r="M33" s="6"/>
      <c r="N33" s="12"/>
      <c r="O33" s="8"/>
      <c r="P33" s="8"/>
      <c r="Q33" s="8"/>
      <c r="R33" s="3" t="str">
        <f t="shared" si="4"/>
        <v/>
      </c>
      <c r="S33" s="4">
        <f t="shared" si="5"/>
        <v>0</v>
      </c>
      <c r="T33" s="4">
        <f>IF(AND(L33="Goods",O33&lt;=Controls!$C$7),0,IF(L33="Services",IF(AND(L33="Goods",O33&gt;Controls!$C$7),1,IF(AND(L33="Goods",O33&lt;=Controls!$C$7),0,IF(AND(L33="Services",P33&gt;Controls!$C$7),Q33-P33+1,IF(AND(L33="Services",Q33&lt;=Controls!$C$7),0,IF(L33="Services",Q33-Controls!$C$7,0)))))/R33*K33,K33))</f>
        <v>0</v>
      </c>
    </row>
    <row r="34" spans="2:20" x14ac:dyDescent="0.25">
      <c r="B34" s="12"/>
      <c r="C34" s="12"/>
      <c r="D34" s="12"/>
      <c r="E34" s="12"/>
      <c r="F34" s="12"/>
      <c r="G34" s="12"/>
      <c r="H34" s="12"/>
      <c r="I34" s="12"/>
      <c r="J34" s="36"/>
      <c r="K34" s="7"/>
      <c r="L34" s="6"/>
      <c r="M34" s="6"/>
      <c r="N34" s="12"/>
      <c r="O34" s="8"/>
      <c r="P34" s="8"/>
      <c r="Q34" s="8"/>
      <c r="R34" s="3" t="str">
        <f t="shared" si="4"/>
        <v/>
      </c>
      <c r="S34" s="4">
        <f t="shared" si="5"/>
        <v>0</v>
      </c>
      <c r="T34" s="4">
        <f>IF(AND(L34="Goods",O34&lt;=Controls!$C$7),0,IF(L34="Services",IF(AND(L34="Goods",O34&gt;Controls!$C$7),1,IF(AND(L34="Goods",O34&lt;=Controls!$C$7),0,IF(AND(L34="Services",P34&gt;Controls!$C$7),Q34-P34+1,IF(AND(L34="Services",Q34&lt;=Controls!$C$7),0,IF(L34="Services",Q34-Controls!$C$7,0)))))/R34*K34,K34))</f>
        <v>0</v>
      </c>
    </row>
    <row r="35" spans="2:20" x14ac:dyDescent="0.25">
      <c r="B35" s="12"/>
      <c r="C35" s="12"/>
      <c r="D35" s="12"/>
      <c r="E35" s="12"/>
      <c r="F35" s="12"/>
      <c r="G35" s="12"/>
      <c r="H35" s="12"/>
      <c r="I35" s="12"/>
      <c r="J35" s="36"/>
      <c r="K35" s="7"/>
      <c r="L35" s="6"/>
      <c r="M35" s="6"/>
      <c r="N35" s="12"/>
      <c r="O35" s="8"/>
      <c r="P35" s="8"/>
      <c r="Q35" s="8"/>
      <c r="R35" s="3" t="str">
        <f t="shared" si="4"/>
        <v/>
      </c>
      <c r="S35" s="4">
        <f t="shared" si="5"/>
        <v>0</v>
      </c>
      <c r="T35" s="4">
        <f>IF(AND(L35="Goods",O35&lt;=Controls!$C$7),0,IF(L35="Services",IF(AND(L35="Goods",O35&gt;Controls!$C$7),1,IF(AND(L35="Goods",O35&lt;=Controls!$C$7),0,IF(AND(L35="Services",P35&gt;Controls!$C$7),Q35-P35+1,IF(AND(L35="Services",Q35&lt;=Controls!$C$7),0,IF(L35="Services",Q35-Controls!$C$7,0)))))/R35*K35,K35))</f>
        <v>0</v>
      </c>
    </row>
    <row r="36" spans="2:20" x14ac:dyDescent="0.25">
      <c r="B36" s="12"/>
      <c r="C36" s="12"/>
      <c r="D36" s="12"/>
      <c r="E36" s="12"/>
      <c r="F36" s="12"/>
      <c r="G36" s="12"/>
      <c r="H36" s="12"/>
      <c r="I36" s="12"/>
      <c r="J36" s="36"/>
      <c r="K36" s="7"/>
      <c r="L36" s="6"/>
      <c r="M36" s="6"/>
      <c r="N36" s="12"/>
      <c r="O36" s="8"/>
      <c r="P36" s="8"/>
      <c r="Q36" s="8"/>
      <c r="R36" s="3" t="str">
        <f t="shared" ref="R36:R44" si="6">IF(P36="","",Q36-P36+1)</f>
        <v/>
      </c>
      <c r="S36" s="4">
        <f t="shared" ref="S36:S44" si="7">K36-T36</f>
        <v>0</v>
      </c>
      <c r="T36" s="4">
        <f>IF(AND(L36="Goods",O36&lt;=Controls!$C$7),0,IF(L36="Services",IF(AND(L36="Goods",O36&gt;Controls!$C$7),1,IF(AND(L36="Goods",O36&lt;=Controls!$C$7),0,IF(AND(L36="Services",P36&gt;Controls!$C$7),Q36-P36+1,IF(AND(L36="Services",Q36&lt;=Controls!$C$7),0,IF(L36="Services",Q36-Controls!$C$7,0)))))/R36*K36,K36))</f>
        <v>0</v>
      </c>
    </row>
    <row r="37" spans="2:20" x14ac:dyDescent="0.25">
      <c r="B37" s="12"/>
      <c r="C37" s="12"/>
      <c r="D37" s="12"/>
      <c r="E37" s="12"/>
      <c r="F37" s="12"/>
      <c r="G37" s="12"/>
      <c r="H37" s="12"/>
      <c r="I37" s="12"/>
      <c r="J37" s="36"/>
      <c r="K37" s="7"/>
      <c r="L37" s="6"/>
      <c r="M37" s="6"/>
      <c r="N37" s="12"/>
      <c r="O37" s="8"/>
      <c r="P37" s="8"/>
      <c r="Q37" s="8"/>
      <c r="R37" s="3" t="str">
        <f t="shared" si="6"/>
        <v/>
      </c>
      <c r="S37" s="4">
        <f t="shared" si="7"/>
        <v>0</v>
      </c>
      <c r="T37" s="4">
        <f>IF(AND(L37="Goods",O37&lt;=Controls!$C$7),0,IF(L37="Services",IF(AND(L37="Goods",O37&gt;Controls!$C$7),1,IF(AND(L37="Goods",O37&lt;=Controls!$C$7),0,IF(AND(L37="Services",P37&gt;Controls!$C$7),Q37-P37+1,IF(AND(L37="Services",Q37&lt;=Controls!$C$7),0,IF(L37="Services",Q37-Controls!$C$7,0)))))/R37*K37,K37))</f>
        <v>0</v>
      </c>
    </row>
    <row r="38" spans="2:20" x14ac:dyDescent="0.25">
      <c r="B38" s="12"/>
      <c r="C38" s="12"/>
      <c r="D38" s="12"/>
      <c r="E38" s="12"/>
      <c r="F38" s="12"/>
      <c r="G38" s="12"/>
      <c r="H38" s="12"/>
      <c r="I38" s="12"/>
      <c r="J38" s="36"/>
      <c r="K38" s="7"/>
      <c r="L38" s="6"/>
      <c r="M38" s="6"/>
      <c r="N38" s="12"/>
      <c r="O38" s="8"/>
      <c r="P38" s="8"/>
      <c r="Q38" s="8"/>
      <c r="R38" s="3" t="str">
        <f t="shared" si="6"/>
        <v/>
      </c>
      <c r="S38" s="4">
        <f t="shared" si="7"/>
        <v>0</v>
      </c>
      <c r="T38" s="4">
        <f>IF(AND(L38="Goods",O38&lt;=Controls!$C$7),0,IF(L38="Services",IF(AND(L38="Goods",O38&gt;Controls!$C$7),1,IF(AND(L38="Goods",O38&lt;=Controls!$C$7),0,IF(AND(L38="Services",P38&gt;Controls!$C$7),Q38-P38+1,IF(AND(L38="Services",Q38&lt;=Controls!$C$7),0,IF(L38="Services",Q38-Controls!$C$7,0)))))/R38*K38,K38))</f>
        <v>0</v>
      </c>
    </row>
    <row r="39" spans="2:20" x14ac:dyDescent="0.25">
      <c r="B39" s="12"/>
      <c r="C39" s="12"/>
      <c r="D39" s="12"/>
      <c r="E39" s="12"/>
      <c r="F39" s="12"/>
      <c r="G39" s="12"/>
      <c r="H39" s="12"/>
      <c r="I39" s="12"/>
      <c r="J39" s="36"/>
      <c r="K39" s="7"/>
      <c r="L39" s="6"/>
      <c r="M39" s="6"/>
      <c r="N39" s="12"/>
      <c r="O39" s="8"/>
      <c r="P39" s="8"/>
      <c r="Q39" s="8"/>
      <c r="R39" s="3" t="str">
        <f t="shared" si="6"/>
        <v/>
      </c>
      <c r="S39" s="4">
        <f t="shared" si="7"/>
        <v>0</v>
      </c>
      <c r="T39" s="4">
        <f>IF(AND(L39="Goods",O39&lt;=Controls!$C$7),0,IF(L39="Services",IF(AND(L39="Goods",O39&gt;Controls!$C$7),1,IF(AND(L39="Goods",O39&lt;=Controls!$C$7),0,IF(AND(L39="Services",P39&gt;Controls!$C$7),Q39-P39+1,IF(AND(L39="Services",Q39&lt;=Controls!$C$7),0,IF(L39="Services",Q39-Controls!$C$7,0)))))/R39*K39,K39))</f>
        <v>0</v>
      </c>
    </row>
    <row r="40" spans="2:20" x14ac:dyDescent="0.25">
      <c r="B40" s="12"/>
      <c r="C40" s="12"/>
      <c r="D40" s="12"/>
      <c r="E40" s="12"/>
      <c r="F40" s="12"/>
      <c r="G40" s="12"/>
      <c r="H40" s="12"/>
      <c r="I40" s="12"/>
      <c r="J40" s="36"/>
      <c r="K40" s="7"/>
      <c r="L40" s="6"/>
      <c r="M40" s="6"/>
      <c r="N40" s="12"/>
      <c r="O40" s="8"/>
      <c r="P40" s="8"/>
      <c r="Q40" s="8"/>
      <c r="R40" s="3" t="str">
        <f t="shared" si="6"/>
        <v/>
      </c>
      <c r="S40" s="4">
        <f t="shared" si="7"/>
        <v>0</v>
      </c>
      <c r="T40" s="4">
        <f>IF(AND(L40="Goods",O40&lt;=Controls!$C$7),0,IF(L40="Services",IF(AND(L40="Goods",O40&gt;Controls!$C$7),1,IF(AND(L40="Goods",O40&lt;=Controls!$C$7),0,IF(AND(L40="Services",P40&gt;Controls!$C$7),Q40-P40+1,IF(AND(L40="Services",Q40&lt;=Controls!$C$7),0,IF(L40="Services",Q40-Controls!$C$7,0)))))/R40*K40,K40))</f>
        <v>0</v>
      </c>
    </row>
    <row r="41" spans="2:20" x14ac:dyDescent="0.25">
      <c r="B41" s="12"/>
      <c r="C41" s="12"/>
      <c r="D41" s="12"/>
      <c r="E41" s="12"/>
      <c r="F41" s="12"/>
      <c r="G41" s="12"/>
      <c r="H41" s="12"/>
      <c r="I41" s="12"/>
      <c r="J41" s="36"/>
      <c r="K41" s="7"/>
      <c r="L41" s="6"/>
      <c r="M41" s="6"/>
      <c r="N41" s="12"/>
      <c r="O41" s="8"/>
      <c r="P41" s="8"/>
      <c r="Q41" s="8"/>
      <c r="R41" s="3" t="str">
        <f t="shared" si="6"/>
        <v/>
      </c>
      <c r="S41" s="4">
        <f t="shared" si="7"/>
        <v>0</v>
      </c>
      <c r="T41" s="4">
        <f>IF(AND(L41="Goods",O41&lt;=Controls!$C$7),0,IF(L41="Services",IF(AND(L41="Goods",O41&gt;Controls!$C$7),1,IF(AND(L41="Goods",O41&lt;=Controls!$C$7),0,IF(AND(L41="Services",P41&gt;Controls!$C$7),Q41-P41+1,IF(AND(L41="Services",Q41&lt;=Controls!$C$7),0,IF(L41="Services",Q41-Controls!$C$7,0)))))/R41*K41,K41))</f>
        <v>0</v>
      </c>
    </row>
    <row r="42" spans="2:20" x14ac:dyDescent="0.25">
      <c r="B42" s="12"/>
      <c r="C42" s="12"/>
      <c r="D42" s="12"/>
      <c r="E42" s="12"/>
      <c r="F42" s="12"/>
      <c r="G42" s="12"/>
      <c r="H42" s="12"/>
      <c r="I42" s="12"/>
      <c r="J42" s="36"/>
      <c r="K42" s="7"/>
      <c r="L42" s="6"/>
      <c r="M42" s="6"/>
      <c r="N42" s="12"/>
      <c r="O42" s="8"/>
      <c r="P42" s="8"/>
      <c r="Q42" s="8"/>
      <c r="R42" s="3" t="str">
        <f t="shared" si="6"/>
        <v/>
      </c>
      <c r="S42" s="4">
        <f t="shared" si="7"/>
        <v>0</v>
      </c>
      <c r="T42" s="4">
        <f>IF(AND(L42="Goods",O42&lt;=Controls!$C$7),0,IF(L42="Services",IF(AND(L42="Goods",O42&gt;Controls!$C$7),1,IF(AND(L42="Goods",O42&lt;=Controls!$C$7),0,IF(AND(L42="Services",P42&gt;Controls!$C$7),Q42-P42+1,IF(AND(L42="Services",Q42&lt;=Controls!$C$7),0,IF(L42="Services",Q42-Controls!$C$7,0)))))/R42*K42,K42))</f>
        <v>0</v>
      </c>
    </row>
    <row r="43" spans="2:20" x14ac:dyDescent="0.25">
      <c r="B43" s="12"/>
      <c r="C43" s="12"/>
      <c r="D43" s="12"/>
      <c r="E43" s="12"/>
      <c r="F43" s="12"/>
      <c r="G43" s="12"/>
      <c r="H43" s="12"/>
      <c r="I43" s="12"/>
      <c r="J43" s="36"/>
      <c r="K43" s="7"/>
      <c r="L43" s="6"/>
      <c r="M43" s="6"/>
      <c r="N43" s="12"/>
      <c r="O43" s="8"/>
      <c r="P43" s="8"/>
      <c r="Q43" s="8"/>
      <c r="R43" s="3" t="str">
        <f t="shared" si="6"/>
        <v/>
      </c>
      <c r="S43" s="4">
        <f t="shared" si="7"/>
        <v>0</v>
      </c>
      <c r="T43" s="4">
        <f>IF(AND(L43="Goods",O43&lt;=Controls!$C$7),0,IF(L43="Services",IF(AND(L43="Goods",O43&gt;Controls!$C$7),1,IF(AND(L43="Goods",O43&lt;=Controls!$C$7),0,IF(AND(L43="Services",P43&gt;Controls!$C$7),Q43-P43+1,IF(AND(L43="Services",Q43&lt;=Controls!$C$7),0,IF(L43="Services",Q43-Controls!$C$7,0)))))/R43*K43,K43))</f>
        <v>0</v>
      </c>
    </row>
    <row r="44" spans="2:20" x14ac:dyDescent="0.25">
      <c r="B44" s="12"/>
      <c r="C44" s="12"/>
      <c r="D44" s="12"/>
      <c r="E44" s="12"/>
      <c r="F44" s="12"/>
      <c r="G44" s="12"/>
      <c r="H44" s="12"/>
      <c r="I44" s="12"/>
      <c r="J44" s="36"/>
      <c r="K44" s="7"/>
      <c r="L44" s="6"/>
      <c r="M44" s="6"/>
      <c r="N44" s="12"/>
      <c r="O44" s="8"/>
      <c r="P44" s="8"/>
      <c r="Q44" s="8"/>
      <c r="R44" s="3" t="str">
        <f t="shared" si="6"/>
        <v/>
      </c>
      <c r="S44" s="4">
        <f t="shared" si="7"/>
        <v>0</v>
      </c>
      <c r="T44" s="4">
        <f>IF(AND(L44="Goods",O44&lt;=Controls!$C$7),0,IF(L44="Services",IF(AND(L44="Goods",O44&gt;Controls!$C$7),1,IF(AND(L44="Goods",O44&lt;=Controls!$C$7),0,IF(AND(L44="Services",P44&gt;Controls!$C$7),Q44-P44+1,IF(AND(L44="Services",Q44&lt;=Controls!$C$7),0,IF(L44="Services",Q44-Controls!$C$7,0)))))/R44*K44,K44))</f>
        <v>0</v>
      </c>
    </row>
    <row r="45" spans="2:20" x14ac:dyDescent="0.25">
      <c r="B45" s="12"/>
      <c r="C45" s="12"/>
      <c r="D45" s="12"/>
      <c r="E45" s="12"/>
      <c r="F45" s="12"/>
      <c r="G45" s="12"/>
      <c r="H45" s="12"/>
      <c r="I45" s="12"/>
      <c r="J45" s="36"/>
      <c r="K45" s="7"/>
      <c r="L45" s="6"/>
      <c r="M45" s="6"/>
      <c r="N45" s="12"/>
      <c r="O45" s="8"/>
      <c r="P45" s="8"/>
      <c r="Q45" s="8"/>
      <c r="R45" s="3" t="str">
        <f t="shared" si="4"/>
        <v/>
      </c>
      <c r="S45" s="4">
        <f t="shared" si="5"/>
        <v>0</v>
      </c>
      <c r="T45" s="4">
        <f>IF(AND(L45="Goods",O45&lt;=Controls!$C$7),0,IF(L45="Services",IF(AND(L45="Goods",O45&gt;Controls!$C$7),1,IF(AND(L45="Goods",O45&lt;=Controls!$C$7),0,IF(AND(L45="Services",P45&gt;Controls!$C$7),Q45-P45+1,IF(AND(L45="Services",Q45&lt;=Controls!$C$7),0,IF(L45="Services",Q45-Controls!$C$7,0)))))/R45*K45,K45))</f>
        <v>0</v>
      </c>
    </row>
    <row r="46" spans="2:20" x14ac:dyDescent="0.25">
      <c r="B46" s="12"/>
      <c r="C46" s="12"/>
      <c r="D46" s="12"/>
      <c r="E46" s="12"/>
      <c r="F46" s="12"/>
      <c r="G46" s="12"/>
      <c r="H46" s="12"/>
      <c r="I46" s="12"/>
      <c r="J46" s="36"/>
      <c r="K46" s="7"/>
      <c r="L46" s="6"/>
      <c r="M46" s="6"/>
      <c r="N46" s="12"/>
      <c r="O46" s="8"/>
      <c r="P46" s="8"/>
      <c r="Q46" s="8"/>
      <c r="R46" s="3" t="str">
        <f t="shared" si="4"/>
        <v/>
      </c>
      <c r="S46" s="4">
        <f t="shared" si="5"/>
        <v>0</v>
      </c>
      <c r="T46" s="4">
        <f>IF(AND(L46="Goods",O46&lt;=Controls!$C$7),0,IF(L46="Services",IF(AND(L46="Goods",O46&gt;Controls!$C$7),1,IF(AND(L46="Goods",O46&lt;=Controls!$C$7),0,IF(AND(L46="Services",P46&gt;Controls!$C$7),Q46-P46+1,IF(AND(L46="Services",Q46&lt;=Controls!$C$7),0,IF(L46="Services",Q46-Controls!$C$7,0)))))/R46*K46,K46))</f>
        <v>0</v>
      </c>
    </row>
    <row r="47" spans="2:20" x14ac:dyDescent="0.25">
      <c r="B47" s="12"/>
      <c r="C47" s="12"/>
      <c r="D47" s="12"/>
      <c r="E47" s="12"/>
      <c r="F47" s="12"/>
      <c r="G47" s="12"/>
      <c r="H47" s="12"/>
      <c r="I47" s="12"/>
      <c r="J47" s="36"/>
      <c r="K47" s="7"/>
      <c r="L47" s="6"/>
      <c r="M47" s="6"/>
      <c r="N47" s="12"/>
      <c r="O47" s="8"/>
      <c r="P47" s="8"/>
      <c r="Q47" s="8"/>
      <c r="R47" s="3" t="str">
        <f t="shared" si="4"/>
        <v/>
      </c>
      <c r="S47" s="4">
        <f t="shared" si="5"/>
        <v>0</v>
      </c>
      <c r="T47" s="4">
        <f>IF(AND(L47="Goods",O47&lt;=Controls!$C$7),0,IF(L47="Services",IF(AND(L47="Goods",O47&gt;Controls!$C$7),1,IF(AND(L47="Goods",O47&lt;=Controls!$C$7),0,IF(AND(L47="Services",P47&gt;Controls!$C$7),Q47-P47+1,IF(AND(L47="Services",Q47&lt;=Controls!$C$7),0,IF(L47="Services",Q47-Controls!$C$7,0)))))/R47*K47,K47))</f>
        <v>0</v>
      </c>
    </row>
    <row r="48" spans="2:20" x14ac:dyDescent="0.25">
      <c r="B48" s="12"/>
      <c r="C48" s="12"/>
      <c r="D48" s="12"/>
      <c r="E48" s="12"/>
      <c r="F48" s="12"/>
      <c r="G48" s="12"/>
      <c r="H48" s="12"/>
      <c r="I48" s="12"/>
      <c r="J48" s="36"/>
      <c r="K48" s="7"/>
      <c r="L48" s="6"/>
      <c r="M48" s="6"/>
      <c r="N48" s="12"/>
      <c r="O48" s="8"/>
      <c r="P48" s="8"/>
      <c r="Q48" s="8"/>
      <c r="R48" s="3" t="str">
        <f t="shared" ref="R48:R57" si="8">IF(P48="","",Q48-P48+1)</f>
        <v/>
      </c>
      <c r="S48" s="4">
        <f t="shared" ref="S48:S57" si="9">K48-T48</f>
        <v>0</v>
      </c>
      <c r="T48" s="4">
        <f>IF(AND(L48="Goods",O48&lt;=Controls!$C$7),0,IF(L48="Services",IF(AND(L48="Goods",O48&gt;Controls!$C$7),1,IF(AND(L48="Goods",O48&lt;=Controls!$C$7),0,IF(AND(L48="Services",P48&gt;Controls!$C$7),Q48-P48+1,IF(AND(L48="Services",Q48&lt;=Controls!$C$7),0,IF(L48="Services",Q48-Controls!$C$7,0)))))/R48*K48,K48))</f>
        <v>0</v>
      </c>
    </row>
    <row r="49" spans="2:20" x14ac:dyDescent="0.25">
      <c r="B49" s="12"/>
      <c r="C49" s="12"/>
      <c r="D49" s="12"/>
      <c r="E49" s="12"/>
      <c r="F49" s="12"/>
      <c r="G49" s="12"/>
      <c r="H49" s="12"/>
      <c r="I49" s="12"/>
      <c r="J49" s="36"/>
      <c r="K49" s="7"/>
      <c r="L49" s="6"/>
      <c r="M49" s="6"/>
      <c r="N49" s="12"/>
      <c r="O49" s="8"/>
      <c r="P49" s="8"/>
      <c r="Q49" s="8"/>
      <c r="R49" s="3" t="str">
        <f t="shared" si="8"/>
        <v/>
      </c>
      <c r="S49" s="4">
        <f t="shared" si="9"/>
        <v>0</v>
      </c>
      <c r="T49" s="4">
        <f>IF(AND(L49="Goods",O49&lt;=Controls!$C$7),0,IF(L49="Services",IF(AND(L49="Goods",O49&gt;Controls!$C$7),1,IF(AND(L49="Goods",O49&lt;=Controls!$C$7),0,IF(AND(L49="Services",P49&gt;Controls!$C$7),Q49-P49+1,IF(AND(L49="Services",Q49&lt;=Controls!$C$7),0,IF(L49="Services",Q49-Controls!$C$7,0)))))/R49*K49,K49))</f>
        <v>0</v>
      </c>
    </row>
    <row r="50" spans="2:20" x14ac:dyDescent="0.25">
      <c r="B50" s="12"/>
      <c r="C50" s="12"/>
      <c r="D50" s="12"/>
      <c r="E50" s="12"/>
      <c r="F50" s="12"/>
      <c r="G50" s="12"/>
      <c r="H50" s="12"/>
      <c r="I50" s="12"/>
      <c r="J50" s="36"/>
      <c r="K50" s="7"/>
      <c r="L50" s="6"/>
      <c r="M50" s="6"/>
      <c r="N50" s="12"/>
      <c r="O50" s="8"/>
      <c r="P50" s="8"/>
      <c r="Q50" s="8"/>
      <c r="R50" s="3" t="str">
        <f t="shared" si="8"/>
        <v/>
      </c>
      <c r="S50" s="4">
        <f t="shared" si="9"/>
        <v>0</v>
      </c>
      <c r="T50" s="4">
        <f>IF(AND(L50="Goods",O50&lt;=Controls!$C$7),0,IF(L50="Services",IF(AND(L50="Goods",O50&gt;Controls!$C$7),1,IF(AND(L50="Goods",O50&lt;=Controls!$C$7),0,IF(AND(L50="Services",P50&gt;Controls!$C$7),Q50-P50+1,IF(AND(L50="Services",Q50&lt;=Controls!$C$7),0,IF(L50="Services",Q50-Controls!$C$7,0)))))/R50*K50,K50))</f>
        <v>0</v>
      </c>
    </row>
    <row r="51" spans="2:20" x14ac:dyDescent="0.25">
      <c r="B51" s="12"/>
      <c r="C51" s="12"/>
      <c r="D51" s="12"/>
      <c r="E51" s="12"/>
      <c r="F51" s="12"/>
      <c r="G51" s="12"/>
      <c r="H51" s="12"/>
      <c r="I51" s="12"/>
      <c r="J51" s="36"/>
      <c r="K51" s="7"/>
      <c r="L51" s="6"/>
      <c r="M51" s="6"/>
      <c r="N51" s="12"/>
      <c r="O51" s="8"/>
      <c r="P51" s="8"/>
      <c r="Q51" s="8"/>
      <c r="R51" s="3" t="str">
        <f t="shared" si="8"/>
        <v/>
      </c>
      <c r="S51" s="4">
        <f t="shared" si="9"/>
        <v>0</v>
      </c>
      <c r="T51" s="4">
        <f>IF(AND(L51="Goods",O51&lt;=Controls!$C$7),0,IF(L51="Services",IF(AND(L51="Goods",O51&gt;Controls!$C$7),1,IF(AND(L51="Goods",O51&lt;=Controls!$C$7),0,IF(AND(L51="Services",P51&gt;Controls!$C$7),Q51-P51+1,IF(AND(L51="Services",Q51&lt;=Controls!$C$7),0,IF(L51="Services",Q51-Controls!$C$7,0)))))/R51*K51,K51))</f>
        <v>0</v>
      </c>
    </row>
    <row r="52" spans="2:20" x14ac:dyDescent="0.25">
      <c r="B52" s="12"/>
      <c r="C52" s="12"/>
      <c r="D52" s="12"/>
      <c r="E52" s="12"/>
      <c r="F52" s="12"/>
      <c r="G52" s="12"/>
      <c r="H52" s="12"/>
      <c r="I52" s="12"/>
      <c r="J52" s="36"/>
      <c r="K52" s="7"/>
      <c r="L52" s="6"/>
      <c r="M52" s="6"/>
      <c r="N52" s="12"/>
      <c r="O52" s="8"/>
      <c r="P52" s="8"/>
      <c r="Q52" s="8"/>
      <c r="R52" s="3" t="str">
        <f t="shared" si="8"/>
        <v/>
      </c>
      <c r="S52" s="4">
        <f t="shared" si="9"/>
        <v>0</v>
      </c>
      <c r="T52" s="4">
        <f>IF(AND(L52="Goods",O52&lt;=Controls!$C$7),0,IF(L52="Services",IF(AND(L52="Goods",O52&gt;Controls!$C$7),1,IF(AND(L52="Goods",O52&lt;=Controls!$C$7),0,IF(AND(L52="Services",P52&gt;Controls!$C$7),Q52-P52+1,IF(AND(L52="Services",Q52&lt;=Controls!$C$7),0,IF(L52="Services",Q52-Controls!$C$7,0)))))/R52*K52,K52))</f>
        <v>0</v>
      </c>
    </row>
    <row r="53" spans="2:20" x14ac:dyDescent="0.25">
      <c r="B53" s="12"/>
      <c r="C53" s="12"/>
      <c r="D53" s="12"/>
      <c r="E53" s="12"/>
      <c r="F53" s="12"/>
      <c r="G53" s="12"/>
      <c r="H53" s="12"/>
      <c r="I53" s="12"/>
      <c r="J53" s="36"/>
      <c r="K53" s="7"/>
      <c r="L53" s="6"/>
      <c r="M53" s="6"/>
      <c r="N53" s="12"/>
      <c r="O53" s="8"/>
      <c r="P53" s="8"/>
      <c r="Q53" s="8"/>
      <c r="R53" s="3" t="str">
        <f t="shared" si="8"/>
        <v/>
      </c>
      <c r="S53" s="4">
        <f t="shared" si="9"/>
        <v>0</v>
      </c>
      <c r="T53" s="4">
        <f>IF(AND(L53="Goods",O53&lt;=Controls!$C$7),0,IF(L53="Services",IF(AND(L53="Goods",O53&gt;Controls!$C$7),1,IF(AND(L53="Goods",O53&lt;=Controls!$C$7),0,IF(AND(L53="Services",P53&gt;Controls!$C$7),Q53-P53+1,IF(AND(L53="Services",Q53&lt;=Controls!$C$7),0,IF(L53="Services",Q53-Controls!$C$7,0)))))/R53*K53,K53))</f>
        <v>0</v>
      </c>
    </row>
    <row r="54" spans="2:20" x14ac:dyDescent="0.25">
      <c r="B54" s="12"/>
      <c r="C54" s="12"/>
      <c r="D54" s="12"/>
      <c r="E54" s="12"/>
      <c r="F54" s="12"/>
      <c r="G54" s="12"/>
      <c r="H54" s="12"/>
      <c r="I54" s="12"/>
      <c r="J54" s="36"/>
      <c r="K54" s="7"/>
      <c r="L54" s="6"/>
      <c r="M54" s="6"/>
      <c r="N54" s="12"/>
      <c r="O54" s="8"/>
      <c r="P54" s="8"/>
      <c r="Q54" s="8"/>
      <c r="R54" s="3" t="str">
        <f t="shared" si="8"/>
        <v/>
      </c>
      <c r="S54" s="4">
        <f t="shared" si="9"/>
        <v>0</v>
      </c>
      <c r="T54" s="4">
        <f>IF(AND(L54="Goods",O54&lt;=Controls!$C$7),0,IF(L54="Services",IF(AND(L54="Goods",O54&gt;Controls!$C$7),1,IF(AND(L54="Goods",O54&lt;=Controls!$C$7),0,IF(AND(L54="Services",P54&gt;Controls!$C$7),Q54-P54+1,IF(AND(L54="Services",Q54&lt;=Controls!$C$7),0,IF(L54="Services",Q54-Controls!$C$7,0)))))/R54*K54,K54))</f>
        <v>0</v>
      </c>
    </row>
    <row r="55" spans="2:20" x14ac:dyDescent="0.25">
      <c r="B55" s="12"/>
      <c r="C55" s="12"/>
      <c r="D55" s="12"/>
      <c r="E55" s="12"/>
      <c r="F55" s="12"/>
      <c r="G55" s="12"/>
      <c r="H55" s="12"/>
      <c r="I55" s="12"/>
      <c r="J55" s="36"/>
      <c r="K55" s="7"/>
      <c r="L55" s="6"/>
      <c r="M55" s="6"/>
      <c r="N55" s="12"/>
      <c r="O55" s="8"/>
      <c r="P55" s="8"/>
      <c r="Q55" s="8"/>
      <c r="R55" s="3" t="str">
        <f t="shared" si="8"/>
        <v/>
      </c>
      <c r="S55" s="4">
        <f t="shared" si="9"/>
        <v>0</v>
      </c>
      <c r="T55" s="4">
        <f>IF(AND(L55="Goods",O55&lt;=Controls!$C$7),0,IF(L55="Services",IF(AND(L55="Goods",O55&gt;Controls!$C$7),1,IF(AND(L55="Goods",O55&lt;=Controls!$C$7),0,IF(AND(L55="Services",P55&gt;Controls!$C$7),Q55-P55+1,IF(AND(L55="Services",Q55&lt;=Controls!$C$7),0,IF(L55="Services",Q55-Controls!$C$7,0)))))/R55*K55,K55))</f>
        <v>0</v>
      </c>
    </row>
    <row r="56" spans="2:20" x14ac:dyDescent="0.25">
      <c r="B56" s="12"/>
      <c r="C56" s="12"/>
      <c r="D56" s="12"/>
      <c r="E56" s="12"/>
      <c r="F56" s="12"/>
      <c r="G56" s="12"/>
      <c r="H56" s="12"/>
      <c r="I56" s="12"/>
      <c r="J56" s="36"/>
      <c r="K56" s="7"/>
      <c r="L56" s="6"/>
      <c r="M56" s="6"/>
      <c r="N56" s="12"/>
      <c r="O56" s="8"/>
      <c r="P56" s="8"/>
      <c r="Q56" s="8"/>
      <c r="R56" s="3" t="str">
        <f t="shared" si="8"/>
        <v/>
      </c>
      <c r="S56" s="4">
        <f t="shared" si="9"/>
        <v>0</v>
      </c>
      <c r="T56" s="4">
        <f>IF(AND(L56="Goods",O56&lt;=Controls!$C$7),0,IF(L56="Services",IF(AND(L56="Goods",O56&gt;Controls!$C$7),1,IF(AND(L56="Goods",O56&lt;=Controls!$C$7),0,IF(AND(L56="Services",P56&gt;Controls!$C$7),Q56-P56+1,IF(AND(L56="Services",Q56&lt;=Controls!$C$7),0,IF(L56="Services",Q56-Controls!$C$7,0)))))/R56*K56,K56))</f>
        <v>0</v>
      </c>
    </row>
    <row r="57" spans="2:20" x14ac:dyDescent="0.25">
      <c r="B57" s="12"/>
      <c r="C57" s="12"/>
      <c r="D57" s="12"/>
      <c r="E57" s="12"/>
      <c r="F57" s="12"/>
      <c r="G57" s="12"/>
      <c r="H57" s="12"/>
      <c r="I57" s="12"/>
      <c r="J57" s="36"/>
      <c r="K57" s="7"/>
      <c r="L57" s="6"/>
      <c r="M57" s="6"/>
      <c r="N57" s="12"/>
      <c r="O57" s="8"/>
      <c r="P57" s="8"/>
      <c r="Q57" s="8"/>
      <c r="R57" s="3" t="str">
        <f t="shared" si="8"/>
        <v/>
      </c>
      <c r="S57" s="4">
        <f t="shared" si="9"/>
        <v>0</v>
      </c>
      <c r="T57" s="4">
        <f>IF(AND(L57="Goods",O57&lt;=Controls!$C$7),0,IF(L57="Services",IF(AND(L57="Goods",O57&gt;Controls!$C$7),1,IF(AND(L57="Goods",O57&lt;=Controls!$C$7),0,IF(AND(L57="Services",P57&gt;Controls!$C$7),Q57-P57+1,IF(AND(L57="Services",Q57&lt;=Controls!$C$7),0,IF(L57="Services",Q57-Controls!$C$7,0)))))/R57*K57,K57))</f>
        <v>0</v>
      </c>
    </row>
    <row r="58" spans="2:20" x14ac:dyDescent="0.25">
      <c r="B58" s="12"/>
      <c r="C58" s="12"/>
      <c r="D58" s="12"/>
      <c r="E58" s="12"/>
      <c r="F58" s="12"/>
      <c r="G58" s="12"/>
      <c r="H58" s="12"/>
      <c r="I58" s="12"/>
      <c r="J58" s="36"/>
      <c r="K58" s="7"/>
      <c r="L58" s="6"/>
      <c r="M58" s="6"/>
      <c r="N58" s="12"/>
      <c r="O58" s="8"/>
      <c r="P58" s="8"/>
      <c r="Q58" s="8"/>
      <c r="R58" s="3" t="str">
        <f t="shared" si="4"/>
        <v/>
      </c>
      <c r="S58" s="4">
        <f t="shared" si="5"/>
        <v>0</v>
      </c>
      <c r="T58" s="4">
        <f>IF(AND(L58="Goods",O58&lt;=Controls!$C$7),0,IF(L58="Services",IF(AND(L58="Goods",O58&gt;Controls!$C$7),1,IF(AND(L58="Goods",O58&lt;=Controls!$C$7),0,IF(AND(L58="Services",P58&gt;Controls!$C$7),Q58-P58+1,IF(AND(L58="Services",Q58&lt;=Controls!$C$7),0,IF(L58="Services",Q58-Controls!$C$7,0)))))/R58*K58,K58))</f>
        <v>0</v>
      </c>
    </row>
    <row r="59" spans="2:20" x14ac:dyDescent="0.25">
      <c r="B59" s="12"/>
      <c r="C59" s="12"/>
      <c r="D59" s="12"/>
      <c r="E59" s="12"/>
      <c r="F59" s="12"/>
      <c r="G59" s="12"/>
      <c r="H59" s="12"/>
      <c r="I59" s="12"/>
      <c r="J59" s="36"/>
      <c r="K59" s="7"/>
      <c r="L59" s="6"/>
      <c r="M59" s="6"/>
      <c r="N59" s="12"/>
      <c r="O59" s="8"/>
      <c r="P59" s="8"/>
      <c r="Q59" s="8"/>
      <c r="R59" s="3" t="str">
        <f t="shared" si="2"/>
        <v/>
      </c>
      <c r="S59" s="4">
        <f t="shared" si="3"/>
        <v>0</v>
      </c>
      <c r="T59" s="4">
        <f>IF(AND(L59="Goods",O59&lt;=Controls!$C$7),0,IF(L59="Services",IF(AND(L59="Goods",O59&gt;Controls!$C$7),1,IF(AND(L59="Goods",O59&lt;=Controls!$C$7),0,IF(AND(L59="Services",P59&gt;Controls!$C$7),Q59-P59+1,IF(AND(L59="Services",Q59&lt;=Controls!$C$7),0,IF(L59="Services",Q59-Controls!$C$7,0)))))/R59*K59,K59))</f>
        <v>0</v>
      </c>
    </row>
    <row r="60" spans="2:20" x14ac:dyDescent="0.25">
      <c r="B60" s="12"/>
      <c r="C60" s="12"/>
      <c r="D60" s="12"/>
      <c r="E60" s="12"/>
      <c r="F60" s="12"/>
      <c r="G60" s="12"/>
      <c r="H60" s="12"/>
      <c r="I60" s="12"/>
      <c r="J60" s="36"/>
      <c r="K60" s="7"/>
      <c r="L60" s="6"/>
      <c r="M60" s="6"/>
      <c r="N60" s="12"/>
      <c r="O60" s="8"/>
      <c r="P60" s="8"/>
      <c r="Q60" s="8"/>
      <c r="R60" s="3" t="str">
        <f t="shared" si="0"/>
        <v/>
      </c>
      <c r="S60" s="4">
        <f t="shared" si="1"/>
        <v>0</v>
      </c>
      <c r="T60" s="4">
        <f>IF(AND(L60="Goods",O60&lt;=Controls!$C$7),0,IF(L60="Services",IF(AND(L60="Goods",O60&gt;Controls!$C$7),1,IF(AND(L60="Goods",O60&lt;=Controls!$C$7),0,IF(AND(L60="Services",P60&gt;Controls!$C$7),Q60-P60+1,IF(AND(L60="Services",Q60&lt;=Controls!$C$7),0,IF(L60="Services",Q60-Controls!$C$7,0)))))/R60*K60,K60))</f>
        <v>0</v>
      </c>
    </row>
    <row r="61" spans="2:20" x14ac:dyDescent="0.25">
      <c r="B61" s="12"/>
      <c r="C61" s="12"/>
      <c r="D61" s="12"/>
      <c r="E61" s="12"/>
      <c r="F61" s="12"/>
      <c r="G61" s="12"/>
      <c r="H61" s="12"/>
      <c r="I61" s="12"/>
      <c r="J61" s="36"/>
      <c r="K61" s="7"/>
      <c r="L61" s="6"/>
      <c r="M61" s="6"/>
      <c r="N61" s="12"/>
      <c r="O61" s="8"/>
      <c r="P61" s="8"/>
      <c r="Q61" s="8"/>
      <c r="R61" s="3" t="str">
        <f t="shared" si="0"/>
        <v/>
      </c>
      <c r="S61" s="4">
        <f t="shared" si="1"/>
        <v>0</v>
      </c>
      <c r="T61" s="4">
        <f>IF(AND(L61="Goods",O61&lt;=Controls!$C$7),0,IF(L61="Services",IF(AND(L61="Goods",O61&gt;Controls!$C$7),1,IF(AND(L61="Goods",O61&lt;=Controls!$C$7),0,IF(AND(L61="Services",P61&gt;Controls!$C$7),Q61-P61+1,IF(AND(L61="Services",Q61&lt;=Controls!$C$7),0,IF(L61="Services",Q61-Controls!$C$7,0)))))/R61*K61,K61))</f>
        <v>0</v>
      </c>
    </row>
    <row r="62" spans="2:20" x14ac:dyDescent="0.25">
      <c r="P62" s="1" t="s">
        <v>178</v>
      </c>
      <c r="Q62" s="1"/>
      <c r="R62" s="10"/>
      <c r="S62" s="11">
        <f>SUMIFS($S$22:S61,$B$22:B61,Controls!$E$5)</f>
        <v>0</v>
      </c>
      <c r="T62" s="11">
        <f>SUMIFS($T$22:T61,$B$22:B61,Controls!$E$5)</f>
        <v>0</v>
      </c>
    </row>
    <row r="63" spans="2:20" x14ac:dyDescent="0.25">
      <c r="B63" s="33" t="s">
        <v>166</v>
      </c>
      <c r="P63" s="1" t="s">
        <v>179</v>
      </c>
      <c r="Q63" s="1"/>
      <c r="R63" s="10"/>
      <c r="S63" s="11">
        <f>SUMIFS($S$22:S62,$B$22:B62,Controls!$E$6)</f>
        <v>0</v>
      </c>
      <c r="T63" s="11">
        <f>SUMIFS($T$22:T62,$B$22:B62,Controls!$E$6)</f>
        <v>0</v>
      </c>
    </row>
    <row r="67" spans="2:11" x14ac:dyDescent="0.25">
      <c r="B67" t="str">
        <f>"IPSA will accept this Year End form by email from either the MP or the proxy, no later than 23:59 on "&amp;Controls!$C$13&amp;", to "&amp;Controls!$C$15&amp;". Anything received after this deadline will not be considered."</f>
        <v>IPSA will accept this Year End form by email from either the MP or the proxy, no later than 23:59 on Thursday 14 April 2022, to info@theipsa.org.uk. Anything received after this deadline will not be considered.</v>
      </c>
    </row>
    <row r="68" spans="2:11" x14ac:dyDescent="0.25">
      <c r="B68" t="s">
        <v>180</v>
      </c>
    </row>
    <row r="70" spans="2:11" x14ac:dyDescent="0.25">
      <c r="B70" t="s">
        <v>181</v>
      </c>
    </row>
    <row r="72" spans="2:11" x14ac:dyDescent="0.25">
      <c r="B72" t="str">
        <f>"I understand that any Year End forms sent to IPSA after 23:59 on "&amp;Controls!$C$13&amp;" and/or sent to an alternative address to the above will not be accepted against the specified financial year on the form."</f>
        <v>I understand that any Year End forms sent to IPSA after 23:59 on Thursday 14 April 2022 and/or sent to an alternative address to the above will not be accepted against the specified financial year on the form.</v>
      </c>
    </row>
    <row r="73" spans="2:11" x14ac:dyDescent="0.25">
      <c r="B73" t="s">
        <v>182</v>
      </c>
    </row>
    <row r="74" spans="2:11" x14ac:dyDescent="0.25">
      <c r="B74" t="s">
        <v>183</v>
      </c>
    </row>
    <row r="77" spans="2:11" ht="18" customHeight="1" x14ac:dyDescent="0.25">
      <c r="B77" s="57" t="s">
        <v>184</v>
      </c>
      <c r="C77" s="58"/>
      <c r="D77" s="80"/>
      <c r="E77" s="81"/>
      <c r="F77" s="40"/>
      <c r="G77" s="57" t="s">
        <v>185</v>
      </c>
      <c r="H77" s="59"/>
      <c r="I77" s="80"/>
      <c r="J77" s="82"/>
      <c r="K77" s="81"/>
    </row>
    <row r="78" spans="2:11" x14ac:dyDescent="0.25">
      <c r="B78" s="1"/>
      <c r="C78" s="1"/>
      <c r="G78" s="1"/>
    </row>
    <row r="79" spans="2:11" ht="18" customHeight="1" x14ac:dyDescent="0.25">
      <c r="B79" s="57" t="s">
        <v>186</v>
      </c>
      <c r="C79" s="58"/>
      <c r="D79" s="80"/>
      <c r="E79" s="81"/>
      <c r="F79" s="40"/>
      <c r="G79" s="57" t="s">
        <v>187</v>
      </c>
      <c r="H79" s="59"/>
      <c r="I79" s="83"/>
      <c r="J79" s="84"/>
      <c r="K79" s="85"/>
    </row>
    <row r="82" spans="2:2" x14ac:dyDescent="0.25">
      <c r="B82" s="9"/>
    </row>
  </sheetData>
  <sheetProtection algorithmName="SHA-512" hashValue="t/nlnoHx9FttnFL7/XQvlKbN+N3IDzNk0w3q6f/Rbtejs0pn3fdQyg5hwmxy5RMlepEGWQm6Mx29JiErWIs3JA==" saltValue="+FvbGEPYSe8KyB/fAEeMeQ==" spinCount="100000" sheet="1" objects="1" formatColumns="0" formatRows="0" selectLockedCells="1"/>
  <mergeCells count="13">
    <mergeCell ref="B10:S10"/>
    <mergeCell ref="D79:E79"/>
    <mergeCell ref="D77:E77"/>
    <mergeCell ref="I77:K77"/>
    <mergeCell ref="I79:K79"/>
    <mergeCell ref="B11:S11"/>
    <mergeCell ref="B12:S12"/>
    <mergeCell ref="B13:S13"/>
    <mergeCell ref="B14:S14"/>
    <mergeCell ref="B15:S15"/>
    <mergeCell ref="B18:S18"/>
    <mergeCell ref="B16:S16"/>
    <mergeCell ref="B17:S17"/>
  </mergeCells>
  <conditionalFormatting sqref="B22 F22:H22 J22 L22:M22">
    <cfRule type="notContainsBlanks" dxfId="14" priority="26">
      <formula>LEN(TRIM(B22))&gt;0</formula>
    </cfRule>
  </conditionalFormatting>
  <conditionalFormatting sqref="B23:B61 F23:H61 J23:J61 L23:M61">
    <cfRule type="notContainsBlanks" dxfId="13" priority="13">
      <formula>LEN(TRIM(B23))&gt;0</formula>
    </cfRule>
  </conditionalFormatting>
  <conditionalFormatting sqref="N22:N61">
    <cfRule type="expression" dxfId="12" priority="39">
      <formula>AND($N22="",$M22="Estimate")</formula>
    </cfRule>
    <cfRule type="expression" dxfId="11" priority="40">
      <formula>$M22="Actual"</formula>
    </cfRule>
  </conditionalFormatting>
  <conditionalFormatting sqref="P22:Q61">
    <cfRule type="expression" dxfId="10" priority="41">
      <formula>$L22="Goods"</formula>
    </cfRule>
  </conditionalFormatting>
  <conditionalFormatting sqref="O22:O61">
    <cfRule type="expression" dxfId="9" priority="42">
      <formula>AND($O22="",$L22="Goods")</formula>
    </cfRule>
    <cfRule type="expression" dxfId="8" priority="43">
      <formula>$L22="Services"</formula>
    </cfRule>
  </conditionalFormatting>
  <conditionalFormatting sqref="B22:B61 F22:H61 J22:J61 L22:M61">
    <cfRule type="expression" dxfId="7" priority="44">
      <formula>$K22&lt;&gt;""</formula>
    </cfRule>
  </conditionalFormatting>
  <conditionalFormatting sqref="P22:P61">
    <cfRule type="expression" dxfId="6" priority="48">
      <formula>AND($P22="",$L22="Services")</formula>
    </cfRule>
  </conditionalFormatting>
  <conditionalFormatting sqref="Q22:Q61">
    <cfRule type="expression" dxfId="5" priority="49">
      <formula>AND($Q22="",$L22="Services")</formula>
    </cfRule>
  </conditionalFormatting>
  <conditionalFormatting sqref="C22">
    <cfRule type="notContainsBlanks" dxfId="4" priority="2">
      <formula>LEN(TRIM(C22))&gt;0</formula>
    </cfRule>
  </conditionalFormatting>
  <conditionalFormatting sqref="C23:C61">
    <cfRule type="notContainsBlanks" dxfId="3" priority="1">
      <formula>LEN(TRIM(C23))&gt;0</formula>
    </cfRule>
  </conditionalFormatting>
  <conditionalFormatting sqref="C22:C61">
    <cfRule type="expression" dxfId="2" priority="3">
      <formula>$K22&lt;&gt;""</formula>
    </cfRule>
  </conditionalFormatting>
  <dataValidations count="1">
    <dataValidation type="decimal" operator="greaterThan" allowBlank="1" showInputMessage="1" showErrorMessage="1" error="This field is mandatory, please enter the full value of the transaction as a positive integer" sqref="K22:K61" xr:uid="{C584196D-34F5-44FD-BBC6-C0BEB5FA6FE0}">
      <formula1>0</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This field is mandatory, please select from the drop-down list" prompt="Please select whether the transaction is an actual amount or an estimated amount" xr:uid="{2960D848-6CD0-470F-BDAA-5526A9B60D1D}">
          <x14:formula1>
            <xm:f>Controls!$M$5:$M$6</xm:f>
          </x14:formula1>
          <xm:sqref>M22:M61</xm:sqref>
        </x14:dataValidation>
        <x14:dataValidation type="list" allowBlank="1" showInputMessage="1" showErrorMessage="1" error="This field is mandatory, please select from the drop-down list" prompt="Please select whether the transaction is for a good or a service" xr:uid="{EBADC8C6-307B-4748-A4ED-B027BF7CB7B2}">
          <x14:formula1>
            <xm:f>Controls!$L$5:$L$6</xm:f>
          </x14:formula1>
          <xm:sqref>L22:L61</xm:sqref>
        </x14:dataValidation>
        <x14:dataValidation type="list" allowBlank="1" showInputMessage="1" showErrorMessage="1" error="This field is mandatory, please select from the drop-down list" prompt="Please select the financial year that you would like IPSA to move the transaction to (wholly or in part)" xr:uid="{572ABDE8-64CA-4FA4-92D6-C561289E9B37}">
          <x14:formula1>
            <xm:f>Controls!$K$5:$K$6</xm:f>
          </x14:formula1>
          <xm:sqref>J22:J61</xm:sqref>
        </x14:dataValidation>
        <x14:dataValidation type="list" allowBlank="1" showInputMessage="1" showErrorMessage="1" error="This field is mandatory, please select from the drop-down list" prompt="Please select the relevant expense/income category for the transaction" xr:uid="{14D66730-5D48-4169-BA63-698043041BC2}">
          <x14:formula1>
            <xm:f>Controls!$H$5:$H$71</xm:f>
          </x14:formula1>
          <xm:sqref>G22:G61</xm:sqref>
        </x14:dataValidation>
        <x14:dataValidation type="list" allowBlank="1" showInputMessage="1" showErrorMessage="1" error="This field is mandatory, please select from the drop-down list" prompt="Please select whether the transaction is an expense that you have/will incur or income that you have/will receive" xr:uid="{F34D6D01-8CAF-490C-B7B9-03AA0380FC16}">
          <x14:formula1>
            <xm:f>Controls!$E$5:$E$6</xm:f>
          </x14:formula1>
          <xm:sqref>B22:B61</xm:sqref>
        </x14:dataValidation>
        <x14:dataValidation type="list" allowBlank="1" showInputMessage="1" showErrorMessage="1" error="This field is mandatory, please select from the drop-down list" prompt="Please select the budget that the transaction is/will be met from" xr:uid="{C40FD4A4-8A0C-44DD-AED5-B9213746ED6E}">
          <x14:formula1>
            <xm:f>Controls!$J$5:$J$21</xm:f>
          </x14:formula1>
          <xm:sqref>H22:H61</xm:sqref>
        </x14:dataValidation>
        <x14:dataValidation type="custom" showInputMessage="1" showErrorMessage="1" error="Either the date iputted is incorrect or one of the following needs checking._x000a__x000a_1. Please ensure that you have  selected 'Goods', or_x000a_2. You have selected the correct action in the 'Request to IPSA' field." xr:uid="{AA89ADF6-3721-4052-99D9-C1431FA22D48}">
          <x14:formula1>
            <xm:f>OR(AND(L22=Controls!$L$5,J22=Controls!$K$5,O22&lt;=Controls!$C$7),AND(L22=Controls!$L$5,J22=Controls!$K$6,O22&gt;Controls!$C$7))</xm:f>
          </x14:formula1>
          <xm:sqref>O22:O61</xm:sqref>
        </x14:dataValidation>
        <x14:dataValidation type="custom" showInputMessage="1" showErrorMessage="1" error="Either the date iputted is incorrect or one of the following needs checking._x000a__x000a_1. Please ensure that you have  selected 'Services', or_x000a_2. You have selected the correct action in the 'Request to IPSA' field." xr:uid="{5805F2EB-A7FB-4301-830E-E50FC0D2DF7F}">
          <x14:formula1>
            <xm:f>OR(AND(L22=Controls!$L$6,J22=Controls!$K$5,P22&lt;=Controls!$C$7),AND(L22=Controls!$L$6,J22=Controls!$K$6))</xm:f>
          </x14:formula1>
          <xm:sqref>P22:P61</xm:sqref>
        </x14:dataValidation>
        <x14:dataValidation type="custom" showInputMessage="1" showErrorMessage="1" error="Please ensure that you have inputted a service start date and that the end date is not before the start date." xr:uid="{F4484B93-2E6E-4B61-80ED-FC793EA89BFC}">
          <x14:formula1>
            <xm:f>OR(AND(P22&lt;&gt;"",Q22&gt;=P22,J22=Controls!$K$5),AND(P22&lt;&gt;"",Q22&gt;=P22,J22=Controls!$K$6,Q22&gt;Controls!$C$7))</xm:f>
          </x14:formula1>
          <xm:sqref>Q22:Q61</xm:sqref>
        </x14:dataValidation>
        <x14:dataValidation type="list" allowBlank="1" showInputMessage="1" showErrorMessage="1" error="This field is mandatory, please select from the drop-down list" prompt="Please select whether the transaction is a reimursement claim, a purchase from an IPSA payment card, or income/refund sent/to be sent direct to IPSA" xr:uid="{37AEA947-AF38-4B4E-8CBE-FC0E114AEB88}">
          <x14:formula1>
            <xm:f>Controls!$F$5:$F$7</xm:f>
          </x14:formula1>
          <xm:sqref>C22:C61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F79F9-FD0A-42C6-9724-B5937EDF57E3}">
  <sheetPr>
    <tabColor theme="4"/>
  </sheetPr>
  <dimension ref="B3:S69"/>
  <sheetViews>
    <sheetView showGridLines="0" tabSelected="1" zoomScaleNormal="100" workbookViewId="0">
      <selection activeCell="B23" sqref="B23:C23"/>
    </sheetView>
  </sheetViews>
  <sheetFormatPr defaultRowHeight="15" x14ac:dyDescent="0.25"/>
  <cols>
    <col min="1" max="1" width="4" customWidth="1"/>
    <col min="2" max="2" width="13.7109375" customWidth="1"/>
    <col min="3" max="3" width="25.85546875" customWidth="1"/>
    <col min="4" max="4" width="32.5703125" customWidth="1"/>
    <col min="5" max="5" width="24.85546875" customWidth="1"/>
    <col min="6" max="6" width="20.7109375" customWidth="1"/>
    <col min="7" max="10" width="20.85546875" customWidth="1"/>
    <col min="11" max="18" width="4.85546875" customWidth="1"/>
    <col min="19" max="19" width="10" customWidth="1"/>
  </cols>
  <sheetData>
    <row r="3" spans="2:19" ht="36" x14ac:dyDescent="0.55000000000000004">
      <c r="B3" s="2" t="s">
        <v>188</v>
      </c>
    </row>
    <row r="7" spans="2:19" ht="15.75" x14ac:dyDescent="0.25">
      <c r="B7" s="5" t="str">
        <f>"Please send this form to IPSA by 23:59 on "&amp;Controls!$C$13&amp;" to "&amp;Controls!$C$15&amp;"."</f>
        <v>Please send this form to IPSA by 23:59 on Thursday 14 April 2022 to info@theipsa.org.uk.</v>
      </c>
    </row>
    <row r="8" spans="2:19" ht="15.75" x14ac:dyDescent="0.25">
      <c r="B8" s="5" t="str">
        <f>Guidance!$B$7</f>
        <v>Anything sent after the deadline will not be considered.</v>
      </c>
    </row>
    <row r="10" spans="2:19" ht="31.5" customHeight="1" x14ac:dyDescent="0.25">
      <c r="B10" s="76" t="str">
        <f>"Please fill in this form, with your name and date at the bottom, to record staffing costs that you wish to be paid to a staff member(s) during "&amp;TEXT(Controls!$C$10+31,"MMMM YYYY")&amp;", but relate to work carried out in "&amp;Controls!$C$4&amp;" and that you want be allocated to your "&amp;Controls!$C$4&amp;" staffing budget."</f>
        <v>Please fill in this form, with your name and date at the bottom, to record staffing costs that you wish to be paid to a staff member(s) during May 2022, but relate to work carried out in 2021-22 and that you want be allocated to your 2021-22 staffing budget.</v>
      </c>
      <c r="C10" s="76"/>
      <c r="D10" s="76"/>
      <c r="E10" s="76"/>
      <c r="F10" s="76"/>
      <c r="G10" s="76"/>
      <c r="H10" s="76"/>
      <c r="I10" s="76"/>
      <c r="J10" s="76"/>
      <c r="K10" s="41"/>
      <c r="L10" s="41"/>
      <c r="M10" s="41"/>
      <c r="N10" s="41"/>
      <c r="O10" s="41"/>
      <c r="P10" s="41"/>
      <c r="Q10" s="41"/>
      <c r="R10" s="41"/>
      <c r="S10" s="41"/>
    </row>
    <row r="11" spans="2:19" ht="15" customHeight="1" x14ac:dyDescent="0.25">
      <c r="B11" s="86" t="str">
        <f>"Please note that IPSA will automatically allocate any timesheets and/or pay arrears paid in "&amp;TEXT(Controls!$C$10,"MMMM YYYY")&amp;" which relate to the "&amp;Controls!$C$4&amp;" financial year to your "&amp;Controls!$C$4&amp;" staffing budget. You do not need to complete this form for these payments. "</f>
        <v xml:space="preserve">Please note that IPSA will automatically allocate any timesheets and/or pay arrears paid in April 2022 which relate to the 2021-22 financial year to your 2021-22 staffing budget. You do not need to complete this form for these payments. </v>
      </c>
      <c r="C11" s="86"/>
      <c r="D11" s="86"/>
      <c r="E11" s="86"/>
      <c r="F11" s="86"/>
      <c r="G11" s="86"/>
      <c r="H11" s="86"/>
      <c r="I11" s="86"/>
      <c r="J11" s="86"/>
      <c r="K11" s="42"/>
      <c r="L11" s="42"/>
      <c r="M11" s="42"/>
      <c r="N11" s="42"/>
      <c r="O11" s="42"/>
      <c r="P11" s="42"/>
      <c r="Q11" s="42"/>
      <c r="R11" s="42"/>
      <c r="S11" s="42"/>
    </row>
    <row r="12" spans="2:19" ht="20.25" customHeight="1" x14ac:dyDescent="0.25">
      <c r="B12" s="86" t="str">
        <f>"However, the Year End Form must be completed and sent to IPSA by 23:59 on "&amp;Controls!$C$13&amp;" for the following:"</f>
        <v>However, the Year End Form must be completed and sent to IPSA by 23:59 on Thursday 14 April 2022 for the following:</v>
      </c>
      <c r="C12" s="86"/>
      <c r="D12" s="86"/>
      <c r="E12" s="86"/>
      <c r="F12" s="86"/>
      <c r="G12" s="86"/>
      <c r="H12" s="86"/>
      <c r="I12" s="86"/>
      <c r="J12" s="86"/>
      <c r="K12" s="42"/>
      <c r="L12" s="42"/>
      <c r="M12" s="42"/>
      <c r="N12" s="42"/>
      <c r="O12" s="42"/>
      <c r="P12" s="42"/>
      <c r="Q12" s="42"/>
      <c r="R12" s="42"/>
      <c r="S12" s="42"/>
    </row>
    <row r="13" spans="2:19" ht="15" customHeight="1" x14ac:dyDescent="0.25">
      <c r="B13" s="86" t="s">
        <v>209</v>
      </c>
      <c r="C13" s="86"/>
      <c r="D13" s="86"/>
      <c r="E13" s="86"/>
      <c r="F13" s="86"/>
      <c r="G13" s="86"/>
      <c r="H13" s="86"/>
      <c r="I13" s="86"/>
      <c r="J13" s="86"/>
      <c r="K13" s="42"/>
      <c r="L13" s="42"/>
      <c r="M13" s="42"/>
      <c r="N13" s="42"/>
      <c r="O13" s="42"/>
      <c r="P13" s="42"/>
      <c r="Q13" s="42"/>
      <c r="R13" s="42"/>
      <c r="S13" s="42"/>
    </row>
    <row r="14" spans="2:19" ht="15" customHeight="1" x14ac:dyDescent="0.25">
      <c r="B14" s="86" t="str">
        <f>" - timesheets which are not submitted and authorised by 23:59 on "&amp;Controls!$C$13&amp;", that are to be paid in "&amp;TEXT(Controls!$C$10+31,"MMMM YYYY")&amp;" salaries, but which you want to allocate to your "&amp;Controls!$C$4&amp;" staffing budget"</f>
        <v xml:space="preserve"> - timesheets which are not submitted and authorised by 23:59 on Thursday 14 April 2022, that are to be paid in May 2022 salaries, but which you want to allocate to your 2021-22 staffing budget</v>
      </c>
      <c r="C14" s="86"/>
      <c r="D14" s="86"/>
      <c r="E14" s="86"/>
      <c r="F14" s="86"/>
      <c r="G14" s="86"/>
      <c r="H14" s="86"/>
      <c r="I14" s="86"/>
      <c r="J14" s="86"/>
      <c r="K14" s="42"/>
      <c r="L14" s="42"/>
      <c r="M14" s="42"/>
      <c r="N14" s="42"/>
      <c r="O14" s="42"/>
      <c r="P14" s="42"/>
      <c r="Q14" s="42"/>
      <c r="R14" s="42"/>
      <c r="S14" s="42"/>
    </row>
    <row r="15" spans="2:19" ht="30" customHeight="1" x14ac:dyDescent="0.25">
      <c r="B15" s="86" t="str">
        <f>" - any late pay arrears, that are to be paid in "&amp;TEXT(Controls!$C$10+31,"MMMM YYYY")&amp;" salaries, but which you want to allocate to your "&amp;Controls!$C$4&amp;" staffing budget"&amp;" (e.g. a "&amp;TEXT(Controls!$C$7,"MMMM")&amp;" new-starter staff member not paid at all until "&amp;TEXT(Controls!$C$10+31,"MMMM")&amp;", where you want the proportion of salary paid for "&amp;TEXT(Controls!$C$7,"MMMM YYYY")&amp;" to come from "&amp;Controls!$C$4&amp;" budget)."</f>
        <v xml:space="preserve"> - any late pay arrears, that are to be paid in May 2022 salaries, but which you want to allocate to your 2021-22 staffing budget (e.g. a March new-starter staff member not paid at all until May, where you want the proportion of salary paid for March 2022 to come from 2021-22 budget).</v>
      </c>
      <c r="C15" s="86"/>
      <c r="D15" s="86"/>
      <c r="E15" s="86"/>
      <c r="F15" s="86"/>
      <c r="G15" s="86"/>
      <c r="H15" s="86"/>
      <c r="I15" s="86"/>
      <c r="J15" s="86"/>
      <c r="K15" s="42"/>
      <c r="L15" s="42"/>
      <c r="M15" s="42"/>
      <c r="N15" s="42"/>
      <c r="O15" s="42"/>
      <c r="P15" s="42"/>
      <c r="Q15" s="42"/>
      <c r="R15" s="42"/>
      <c r="S15" s="42"/>
    </row>
    <row r="16" spans="2:19" ht="21" customHeight="1" x14ac:dyDescent="0.25">
      <c r="B16" s="87" t="s">
        <v>208</v>
      </c>
      <c r="C16" s="87"/>
      <c r="D16" s="87"/>
      <c r="E16" s="87"/>
      <c r="F16" s="87"/>
      <c r="G16" s="87"/>
      <c r="H16" s="87"/>
      <c r="I16" s="87"/>
      <c r="J16" s="87"/>
      <c r="K16" s="43"/>
      <c r="L16" s="43"/>
      <c r="M16" s="43"/>
      <c r="N16" s="43"/>
      <c r="O16" s="43"/>
      <c r="P16" s="43"/>
      <c r="Q16" s="43"/>
      <c r="R16" s="43"/>
      <c r="S16" s="43"/>
    </row>
    <row r="17" spans="2:19" ht="16.5" customHeight="1" x14ac:dyDescent="0.25">
      <c r="B17" s="87" t="s">
        <v>206</v>
      </c>
      <c r="C17" s="87"/>
      <c r="D17" s="87"/>
      <c r="E17" s="87"/>
      <c r="F17" s="87"/>
      <c r="G17" s="87"/>
      <c r="H17" s="87"/>
      <c r="I17" s="87"/>
      <c r="J17" s="87"/>
      <c r="K17" s="43"/>
      <c r="L17" s="43"/>
      <c r="M17" s="43"/>
      <c r="N17" s="43"/>
      <c r="O17" s="43"/>
      <c r="P17" s="43"/>
      <c r="Q17" s="43"/>
      <c r="R17" s="43"/>
      <c r="S17" s="43"/>
    </row>
    <row r="18" spans="2:19" ht="16.5" customHeight="1" x14ac:dyDescent="0.25">
      <c r="B18" s="87" t="s">
        <v>205</v>
      </c>
      <c r="C18" s="87"/>
      <c r="D18" s="87"/>
      <c r="E18" s="87"/>
      <c r="F18" s="87"/>
      <c r="G18" s="87"/>
      <c r="H18" s="87"/>
      <c r="I18" s="87"/>
      <c r="J18" s="87"/>
      <c r="K18" s="43"/>
      <c r="L18" s="43"/>
      <c r="M18" s="43"/>
      <c r="N18" s="43"/>
      <c r="O18" s="43"/>
      <c r="P18" s="43"/>
      <c r="Q18" s="43"/>
      <c r="R18" s="43"/>
      <c r="S18" s="43"/>
    </row>
    <row r="19" spans="2:19" ht="16.5" customHeight="1" x14ac:dyDescent="0.25">
      <c r="B19" s="86" t="s">
        <v>207</v>
      </c>
      <c r="C19" s="86"/>
      <c r="D19" s="86"/>
      <c r="E19" s="86"/>
      <c r="F19" s="86"/>
      <c r="G19" s="86"/>
      <c r="H19" s="86"/>
      <c r="I19" s="86"/>
      <c r="J19" s="86"/>
      <c r="K19" s="44"/>
      <c r="L19" s="44"/>
      <c r="M19" s="44"/>
      <c r="N19" s="44"/>
      <c r="O19" s="44"/>
      <c r="P19" s="44"/>
      <c r="Q19" s="44"/>
      <c r="R19" s="44"/>
      <c r="S19" s="44"/>
    </row>
    <row r="20" spans="2:19" x14ac:dyDescent="0.25">
      <c r="B20" s="37"/>
      <c r="C20" s="37"/>
      <c r="D20" s="37"/>
      <c r="E20" s="37"/>
      <c r="F20" s="37"/>
      <c r="G20" s="37"/>
      <c r="H20" s="37"/>
      <c r="I20" s="37"/>
      <c r="J20" s="37"/>
      <c r="K20" s="37"/>
      <c r="L20" s="37"/>
      <c r="M20" s="37"/>
      <c r="N20" s="37"/>
      <c r="O20" s="37"/>
      <c r="P20" s="37"/>
      <c r="Q20" s="37"/>
      <c r="R20" s="37"/>
      <c r="S20" s="37"/>
    </row>
    <row r="21" spans="2:19" ht="15.75" thickBot="1" x14ac:dyDescent="0.3"/>
    <row r="22" spans="2:19" ht="75" customHeight="1" thickBot="1" x14ac:dyDescent="0.3">
      <c r="B22" s="74" t="str">
        <f>"Details of staffing costs that will be paid in "&amp;Controls!$C$5&amp;" but are to be allocated to your "&amp;Controls!$C$4&amp;" staffing budget *"</f>
        <v>Details of staffing costs that will be paid in 2022-23 but are to be allocated to your 2021-22 staffing budget *</v>
      </c>
      <c r="C22" s="75"/>
      <c r="D22" s="53" t="s">
        <v>169</v>
      </c>
      <c r="E22" s="53" t="s">
        <v>152</v>
      </c>
      <c r="F22" s="53" t="s">
        <v>157</v>
      </c>
      <c r="G22" s="53" t="s">
        <v>170</v>
      </c>
      <c r="H22" s="55" t="s">
        <v>171</v>
      </c>
      <c r="I22" s="55" t="s">
        <v>172</v>
      </c>
      <c r="J22" s="56" t="s">
        <v>173</v>
      </c>
    </row>
    <row r="23" spans="2:19" x14ac:dyDescent="0.25">
      <c r="B23" s="89"/>
      <c r="C23" s="89"/>
      <c r="D23" s="48"/>
      <c r="E23" s="48"/>
      <c r="F23" s="48"/>
      <c r="G23" s="47"/>
      <c r="H23" s="51">
        <f>IF(B23=Controls!$N$11,0,G23*13.8%)</f>
        <v>0</v>
      </c>
      <c r="I23" s="66">
        <f>IF(OR(B23=Controls!$N$5,B23=Controls!$N$7,B23=Controls!$N$9),G23*10%,0)</f>
        <v>0</v>
      </c>
      <c r="J23" s="51">
        <f>SUM(G23:I23)</f>
        <v>0</v>
      </c>
    </row>
    <row r="24" spans="2:19" x14ac:dyDescent="0.25">
      <c r="B24" s="88"/>
      <c r="C24" s="88"/>
      <c r="D24" s="6"/>
      <c r="E24" s="6"/>
      <c r="F24" s="6"/>
      <c r="G24" s="7"/>
      <c r="H24" s="4">
        <f>IF(B24=Controls!$N$11,0,G24*13.8%)</f>
        <v>0</v>
      </c>
      <c r="I24" s="31">
        <f>IF(OR(B24=Controls!$N$5,B24=Controls!$N$7,B24=Controls!$N$9),G24*10%,0)</f>
        <v>0</v>
      </c>
      <c r="J24" s="4">
        <f>SUM(G24:I24)</f>
        <v>0</v>
      </c>
    </row>
    <row r="25" spans="2:19" x14ac:dyDescent="0.25">
      <c r="B25" s="88"/>
      <c r="C25" s="88"/>
      <c r="D25" s="6"/>
      <c r="E25" s="6"/>
      <c r="F25" s="6"/>
      <c r="G25" s="7"/>
      <c r="H25" s="4">
        <f>IF(B25=Controls!$N$11,0,G25*13.8%)</f>
        <v>0</v>
      </c>
      <c r="I25" s="31">
        <f>IF(OR(B25=Controls!$N$5,B25=Controls!$N$7,B25=Controls!$N$9),G25*10%,0)</f>
        <v>0</v>
      </c>
      <c r="J25" s="4">
        <f t="shared" ref="J25:J39" si="0">SUM(G25:I25)</f>
        <v>0</v>
      </c>
    </row>
    <row r="26" spans="2:19" x14ac:dyDescent="0.25">
      <c r="B26" s="88"/>
      <c r="C26" s="88"/>
      <c r="D26" s="6"/>
      <c r="E26" s="6"/>
      <c r="F26" s="6"/>
      <c r="G26" s="7"/>
      <c r="H26" s="4">
        <f>IF(B26=Controls!$N$11,0,G26*13.8%)</f>
        <v>0</v>
      </c>
      <c r="I26" s="31">
        <f>IF(OR(B26=Controls!$N$5,B26=Controls!$N$7,B26=Controls!$N$9),G26*10%,0)</f>
        <v>0</v>
      </c>
      <c r="J26" s="4">
        <f t="shared" si="0"/>
        <v>0</v>
      </c>
    </row>
    <row r="27" spans="2:19" x14ac:dyDescent="0.25">
      <c r="B27" s="88"/>
      <c r="C27" s="88"/>
      <c r="D27" s="6"/>
      <c r="E27" s="6"/>
      <c r="F27" s="6"/>
      <c r="G27" s="7"/>
      <c r="H27" s="4">
        <f>IF(B27=Controls!$N$11,0,G27*13.8%)</f>
        <v>0</v>
      </c>
      <c r="I27" s="31">
        <f>IF(OR(B27=Controls!$N$5,B27=Controls!$N$7,B27=Controls!$N$9),G27*10%,0)</f>
        <v>0</v>
      </c>
      <c r="J27" s="4">
        <f t="shared" si="0"/>
        <v>0</v>
      </c>
    </row>
    <row r="28" spans="2:19" x14ac:dyDescent="0.25">
      <c r="B28" s="88"/>
      <c r="C28" s="88"/>
      <c r="D28" s="6"/>
      <c r="E28" s="6"/>
      <c r="F28" s="6"/>
      <c r="G28" s="7"/>
      <c r="H28" s="4">
        <f>IF(B28=Controls!$N$11,0,G28*13.8%)</f>
        <v>0</v>
      </c>
      <c r="I28" s="31">
        <f>IF(OR(B28=Controls!$N$5,B28=Controls!$N$7,B28=Controls!$N$9),G28*10%,0)</f>
        <v>0</v>
      </c>
      <c r="J28" s="4">
        <f t="shared" si="0"/>
        <v>0</v>
      </c>
    </row>
    <row r="29" spans="2:19" x14ac:dyDescent="0.25">
      <c r="B29" s="88"/>
      <c r="C29" s="88"/>
      <c r="D29" s="6"/>
      <c r="E29" s="6"/>
      <c r="F29" s="6"/>
      <c r="G29" s="7"/>
      <c r="H29" s="4">
        <f>IF(B29=Controls!$N$11,0,G29*13.8%)</f>
        <v>0</v>
      </c>
      <c r="I29" s="31">
        <f>IF(OR(B29=Controls!$N$5,B29=Controls!$N$7,B29=Controls!$N$9),G29*10%,0)</f>
        <v>0</v>
      </c>
      <c r="J29" s="4">
        <f t="shared" si="0"/>
        <v>0</v>
      </c>
    </row>
    <row r="30" spans="2:19" x14ac:dyDescent="0.25">
      <c r="B30" s="88"/>
      <c r="C30" s="88"/>
      <c r="D30" s="6"/>
      <c r="E30" s="6"/>
      <c r="F30" s="6"/>
      <c r="G30" s="7"/>
      <c r="H30" s="4">
        <f>IF(B30=Controls!$N$11,0,G30*13.8%)</f>
        <v>0</v>
      </c>
      <c r="I30" s="31">
        <f>IF(OR(B30=Controls!$N$5,B30=Controls!$N$7,B30=Controls!$N$9),G30*10%,0)</f>
        <v>0</v>
      </c>
      <c r="J30" s="4">
        <f t="shared" si="0"/>
        <v>0</v>
      </c>
    </row>
    <row r="31" spans="2:19" x14ac:dyDescent="0.25">
      <c r="B31" s="88"/>
      <c r="C31" s="88"/>
      <c r="D31" s="6"/>
      <c r="E31" s="6"/>
      <c r="F31" s="6"/>
      <c r="G31" s="7"/>
      <c r="H31" s="4">
        <f>IF(B31=Controls!$N$11,0,G31*13.8%)</f>
        <v>0</v>
      </c>
      <c r="I31" s="31">
        <f>IF(OR(B31=Controls!$N$5,B31=Controls!$N$7,B31=Controls!$N$9),G31*10%,0)</f>
        <v>0</v>
      </c>
      <c r="J31" s="4">
        <f t="shared" si="0"/>
        <v>0</v>
      </c>
    </row>
    <row r="32" spans="2:19" x14ac:dyDescent="0.25">
      <c r="B32" s="88"/>
      <c r="C32" s="88"/>
      <c r="D32" s="6"/>
      <c r="E32" s="6"/>
      <c r="F32" s="6"/>
      <c r="G32" s="7"/>
      <c r="H32" s="4">
        <f>IF(B32=Controls!$N$11,0,G32*13.8%)</f>
        <v>0</v>
      </c>
      <c r="I32" s="31">
        <f>IF(OR(B32=Controls!$N$5,B32=Controls!$N$7,B32=Controls!$N$9),G32*10%,0)</f>
        <v>0</v>
      </c>
      <c r="J32" s="4">
        <f t="shared" si="0"/>
        <v>0</v>
      </c>
    </row>
    <row r="33" spans="2:10" x14ac:dyDescent="0.25">
      <c r="B33" s="88"/>
      <c r="C33" s="88"/>
      <c r="D33" s="6"/>
      <c r="E33" s="6"/>
      <c r="F33" s="6"/>
      <c r="G33" s="7"/>
      <c r="H33" s="4">
        <f>IF(B33=Controls!$N$11,0,G33*13.8%)</f>
        <v>0</v>
      </c>
      <c r="I33" s="31">
        <f>IF(OR(B33=Controls!$N$5,B33=Controls!$N$7,B33=Controls!$N$9),G33*10%,0)</f>
        <v>0</v>
      </c>
      <c r="J33" s="4">
        <f t="shared" si="0"/>
        <v>0</v>
      </c>
    </row>
    <row r="34" spans="2:10" x14ac:dyDescent="0.25">
      <c r="B34" s="88"/>
      <c r="C34" s="88"/>
      <c r="D34" s="6"/>
      <c r="E34" s="6"/>
      <c r="F34" s="6"/>
      <c r="G34" s="7"/>
      <c r="H34" s="4">
        <f>IF(B34=Controls!$N$11,0,G34*13.8%)</f>
        <v>0</v>
      </c>
      <c r="I34" s="31">
        <f>IF(OR(B34=Controls!$N$5,B34=Controls!$N$7,B34=Controls!$N$9),G34*10%,0)</f>
        <v>0</v>
      </c>
      <c r="J34" s="4">
        <f t="shared" si="0"/>
        <v>0</v>
      </c>
    </row>
    <row r="35" spans="2:10" x14ac:dyDescent="0.25">
      <c r="B35" s="88"/>
      <c r="C35" s="88"/>
      <c r="D35" s="6"/>
      <c r="E35" s="6"/>
      <c r="F35" s="6"/>
      <c r="G35" s="7"/>
      <c r="H35" s="4">
        <f>IF(B35=Controls!$N$11,0,G35*13.8%)</f>
        <v>0</v>
      </c>
      <c r="I35" s="31">
        <f>IF(OR(B35=Controls!$N$5,B35=Controls!$N$7,B35=Controls!$N$9),G35*10%,0)</f>
        <v>0</v>
      </c>
      <c r="J35" s="4">
        <f t="shared" si="0"/>
        <v>0</v>
      </c>
    </row>
    <row r="36" spans="2:10" x14ac:dyDescent="0.25">
      <c r="B36" s="88"/>
      <c r="C36" s="88"/>
      <c r="D36" s="6"/>
      <c r="E36" s="6"/>
      <c r="F36" s="6"/>
      <c r="G36" s="7"/>
      <c r="H36" s="4">
        <f>IF(B36=Controls!$N$11,0,G36*13.8%)</f>
        <v>0</v>
      </c>
      <c r="I36" s="31">
        <f>IF(OR(B36=Controls!$N$5,B36=Controls!$N$7,B36=Controls!$N$9),G36*10%,0)</f>
        <v>0</v>
      </c>
      <c r="J36" s="4">
        <f t="shared" si="0"/>
        <v>0</v>
      </c>
    </row>
    <row r="37" spans="2:10" x14ac:dyDescent="0.25">
      <c r="B37" s="88"/>
      <c r="C37" s="88"/>
      <c r="D37" s="6"/>
      <c r="E37" s="6"/>
      <c r="F37" s="6"/>
      <c r="G37" s="7"/>
      <c r="H37" s="4">
        <f>IF(B37=Controls!$N$11,0,G37*13.8%)</f>
        <v>0</v>
      </c>
      <c r="I37" s="31">
        <f>IF(OR(B37=Controls!$N$5,B37=Controls!$N$7,B37=Controls!$N$9),G37*10%,0)</f>
        <v>0</v>
      </c>
      <c r="J37" s="4">
        <f t="shared" si="0"/>
        <v>0</v>
      </c>
    </row>
    <row r="38" spans="2:10" x14ac:dyDescent="0.25">
      <c r="B38" s="88"/>
      <c r="C38" s="88"/>
      <c r="D38" s="6"/>
      <c r="E38" s="6"/>
      <c r="F38" s="6"/>
      <c r="G38" s="7"/>
      <c r="H38" s="4">
        <f>IF(B38=Controls!$N$11,0,G38*13.8%)</f>
        <v>0</v>
      </c>
      <c r="I38" s="31">
        <f>IF(OR(B38=Controls!$N$5,B38=Controls!$N$7,B38=Controls!$N$9),G38*10%,0)</f>
        <v>0</v>
      </c>
      <c r="J38" s="4">
        <f t="shared" si="0"/>
        <v>0</v>
      </c>
    </row>
    <row r="39" spans="2:10" x14ac:dyDescent="0.25">
      <c r="B39" s="88"/>
      <c r="C39" s="88"/>
      <c r="D39" s="6"/>
      <c r="E39" s="6"/>
      <c r="F39" s="6"/>
      <c r="G39" s="7"/>
      <c r="H39" s="4">
        <f>IF(B39=Controls!$N$11,0,G39*13.8%)</f>
        <v>0</v>
      </c>
      <c r="I39" s="31">
        <f>IF(OR(B39=Controls!$N$5,B39=Controls!$N$7,B39=Controls!$N$9),G39*10%,0)</f>
        <v>0</v>
      </c>
      <c r="J39" s="4">
        <f t="shared" si="0"/>
        <v>0</v>
      </c>
    </row>
    <row r="40" spans="2:10" x14ac:dyDescent="0.25">
      <c r="B40" s="88"/>
      <c r="C40" s="88"/>
      <c r="D40" s="6"/>
      <c r="E40" s="6"/>
      <c r="F40" s="6"/>
      <c r="G40" s="7"/>
      <c r="H40" s="4">
        <f>IF(B40=Controls!$N$11,0,G40*13.8%)</f>
        <v>0</v>
      </c>
      <c r="I40" s="31">
        <f>IF(OR(B40=Controls!$N$5,B40=Controls!$N$7,B40=Controls!$N$9),G40*10%,0)</f>
        <v>0</v>
      </c>
      <c r="J40" s="4">
        <f t="shared" ref="J40:J50" si="1">SUM(G40:I40)</f>
        <v>0</v>
      </c>
    </row>
    <row r="41" spans="2:10" x14ac:dyDescent="0.25">
      <c r="B41" s="88"/>
      <c r="C41" s="88"/>
      <c r="D41" s="6"/>
      <c r="E41" s="6"/>
      <c r="F41" s="6"/>
      <c r="G41" s="7"/>
      <c r="H41" s="4">
        <f>IF(B41=Controls!$N$11,0,G41*13.8%)</f>
        <v>0</v>
      </c>
      <c r="I41" s="31">
        <f>IF(OR(B41=Controls!$N$5,B41=Controls!$N$7,B41=Controls!$N$9),G41*10%,0)</f>
        <v>0</v>
      </c>
      <c r="J41" s="4">
        <f t="shared" si="1"/>
        <v>0</v>
      </c>
    </row>
    <row r="42" spans="2:10" x14ac:dyDescent="0.25">
      <c r="B42" s="88"/>
      <c r="C42" s="88"/>
      <c r="D42" s="6"/>
      <c r="E42" s="6"/>
      <c r="F42" s="6"/>
      <c r="G42" s="7"/>
      <c r="H42" s="4">
        <f>IF(B42=Controls!$N$11,0,G42*13.8%)</f>
        <v>0</v>
      </c>
      <c r="I42" s="31">
        <f>IF(OR(B42=Controls!$N$5,B42=Controls!$N$7,B42=Controls!$N$9),G42*10%,0)</f>
        <v>0</v>
      </c>
      <c r="J42" s="4">
        <f t="shared" si="1"/>
        <v>0</v>
      </c>
    </row>
    <row r="43" spans="2:10" x14ac:dyDescent="0.25">
      <c r="B43" s="88"/>
      <c r="C43" s="88"/>
      <c r="D43" s="6"/>
      <c r="E43" s="6"/>
      <c r="F43" s="6"/>
      <c r="G43" s="7"/>
      <c r="H43" s="4">
        <f>IF(B43=Controls!$N$11,0,G43*13.8%)</f>
        <v>0</v>
      </c>
      <c r="I43" s="31">
        <f>IF(OR(B43=Controls!$N$5,B43=Controls!$N$7,B43=Controls!$N$9),G43*10%,0)</f>
        <v>0</v>
      </c>
      <c r="J43" s="4">
        <f t="shared" si="1"/>
        <v>0</v>
      </c>
    </row>
    <row r="44" spans="2:10" x14ac:dyDescent="0.25">
      <c r="B44" s="88"/>
      <c r="C44" s="88"/>
      <c r="D44" s="6"/>
      <c r="E44" s="6"/>
      <c r="F44" s="6"/>
      <c r="G44" s="7"/>
      <c r="H44" s="4">
        <f>IF(B44=Controls!$N$11,0,G44*13.8%)</f>
        <v>0</v>
      </c>
      <c r="I44" s="31">
        <f>IF(OR(B44=Controls!$N$5,B44=Controls!$N$7,B44=Controls!$N$9),G44*10%,0)</f>
        <v>0</v>
      </c>
      <c r="J44" s="4">
        <f t="shared" si="1"/>
        <v>0</v>
      </c>
    </row>
    <row r="45" spans="2:10" x14ac:dyDescent="0.25">
      <c r="B45" s="88"/>
      <c r="C45" s="88"/>
      <c r="D45" s="6"/>
      <c r="E45" s="6"/>
      <c r="F45" s="6"/>
      <c r="G45" s="7"/>
      <c r="H45" s="4">
        <f>IF(B45=Controls!$N$11,0,G45*13.8%)</f>
        <v>0</v>
      </c>
      <c r="I45" s="31">
        <f>IF(OR(B45=Controls!$N$5,B45=Controls!$N$7,B45=Controls!$N$9),G45*10%,0)</f>
        <v>0</v>
      </c>
      <c r="J45" s="4">
        <f t="shared" si="1"/>
        <v>0</v>
      </c>
    </row>
    <row r="46" spans="2:10" x14ac:dyDescent="0.25">
      <c r="B46" s="88"/>
      <c r="C46" s="88"/>
      <c r="D46" s="6"/>
      <c r="E46" s="6"/>
      <c r="F46" s="6"/>
      <c r="G46" s="7"/>
      <c r="H46" s="4">
        <f>IF(B46=Controls!$N$11,0,G46*13.8%)</f>
        <v>0</v>
      </c>
      <c r="I46" s="31">
        <f>IF(OR(B46=Controls!$N$5,B46=Controls!$N$7,B46=Controls!$N$9),G46*10%,0)</f>
        <v>0</v>
      </c>
      <c r="J46" s="4">
        <f t="shared" si="1"/>
        <v>0</v>
      </c>
    </row>
    <row r="47" spans="2:10" x14ac:dyDescent="0.25">
      <c r="B47" s="88"/>
      <c r="C47" s="88"/>
      <c r="D47" s="6"/>
      <c r="E47" s="6"/>
      <c r="F47" s="6"/>
      <c r="G47" s="7"/>
      <c r="H47" s="4">
        <f>IF(B47=Controls!$N$11,0,G47*13.8%)</f>
        <v>0</v>
      </c>
      <c r="I47" s="31">
        <f>IF(OR(B47=Controls!$N$5,B47=Controls!$N$7,B47=Controls!$N$9),G47*10%,0)</f>
        <v>0</v>
      </c>
      <c r="J47" s="4">
        <f t="shared" si="1"/>
        <v>0</v>
      </c>
    </row>
    <row r="48" spans="2:10" x14ac:dyDescent="0.25">
      <c r="B48" s="88"/>
      <c r="C48" s="88"/>
      <c r="D48" s="6"/>
      <c r="E48" s="6"/>
      <c r="F48" s="6"/>
      <c r="G48" s="7"/>
      <c r="H48" s="4">
        <f>IF(B48=Controls!$N$11,0,G48*13.8%)</f>
        <v>0</v>
      </c>
      <c r="I48" s="31">
        <f>IF(OR(B48=Controls!$N$5,B48=Controls!$N$7,B48=Controls!$N$9),G48*10%,0)</f>
        <v>0</v>
      </c>
      <c r="J48" s="4">
        <f t="shared" si="1"/>
        <v>0</v>
      </c>
    </row>
    <row r="49" spans="2:10" x14ac:dyDescent="0.25">
      <c r="B49" s="88"/>
      <c r="C49" s="88"/>
      <c r="D49" s="6"/>
      <c r="E49" s="6"/>
      <c r="F49" s="6"/>
      <c r="G49" s="7"/>
      <c r="H49" s="4">
        <f>IF(B49=Controls!$N$11,0,G49*13.8%)</f>
        <v>0</v>
      </c>
      <c r="I49" s="31">
        <f>IF(OR(B49=Controls!$N$5,B49=Controls!$N$7,B49=Controls!$N$9),G49*10%,0)</f>
        <v>0</v>
      </c>
      <c r="J49" s="4">
        <f t="shared" si="1"/>
        <v>0</v>
      </c>
    </row>
    <row r="50" spans="2:10" x14ac:dyDescent="0.25">
      <c r="B50" s="88"/>
      <c r="C50" s="88"/>
      <c r="D50" s="6"/>
      <c r="E50" s="6"/>
      <c r="F50" s="6"/>
      <c r="G50" s="7"/>
      <c r="H50" s="4">
        <f>IF(B50=Controls!$N$11,0,G50*13.8%)</f>
        <v>0</v>
      </c>
      <c r="I50" s="31">
        <f>IF(OR(B50=Controls!$N$5,B50=Controls!$N$7,B50=Controls!$N$9),G50*10%,0)</f>
        <v>0</v>
      </c>
      <c r="J50" s="4">
        <f t="shared" si="1"/>
        <v>0</v>
      </c>
    </row>
    <row r="51" spans="2:10" x14ac:dyDescent="0.25">
      <c r="B51" s="88"/>
      <c r="C51" s="88"/>
      <c r="D51" s="6"/>
      <c r="E51" s="6"/>
      <c r="F51" s="6"/>
      <c r="G51" s="7"/>
      <c r="H51" s="4">
        <f>IF(B51=Controls!$N$11,0,G51*13.8%)</f>
        <v>0</v>
      </c>
      <c r="I51" s="31">
        <f>IF(OR(B51=Controls!$N$5,B51=Controls!$N$7,B51=Controls!$N$9),G51*10%,0)</f>
        <v>0</v>
      </c>
      <c r="J51" s="4">
        <f>SUM(G51:I51)</f>
        <v>0</v>
      </c>
    </row>
    <row r="52" spans="2:10" x14ac:dyDescent="0.25">
      <c r="B52" s="90"/>
      <c r="C52" s="91"/>
      <c r="D52" s="6"/>
      <c r="E52" s="6"/>
      <c r="F52" s="6"/>
      <c r="G52" s="7"/>
      <c r="H52" s="4">
        <f>IF(B52=Controls!$N$11,0,G52*13.8%)</f>
        <v>0</v>
      </c>
      <c r="I52" s="31">
        <f>IF(OR(B52=Controls!$N$5,B52=Controls!$N$7,B52=Controls!$N$9),G52*10%,0)</f>
        <v>0</v>
      </c>
      <c r="J52" s="4">
        <f>SUM(G52:I52)</f>
        <v>0</v>
      </c>
    </row>
    <row r="53" spans="2:10" x14ac:dyDescent="0.25">
      <c r="F53" s="1" t="s">
        <v>189</v>
      </c>
      <c r="G53" s="32">
        <f>SUM($G$23:G52)</f>
        <v>0</v>
      </c>
      <c r="H53" s="11">
        <f>SUM($H$23:H52)</f>
        <v>0</v>
      </c>
      <c r="I53" s="11">
        <f>SUM($I$23:I52)</f>
        <v>0</v>
      </c>
      <c r="J53" s="11">
        <f>SUM($J$23:J52)</f>
        <v>0</v>
      </c>
    </row>
    <row r="54" spans="2:10" x14ac:dyDescent="0.25">
      <c r="B54" s="33" t="s">
        <v>166</v>
      </c>
    </row>
    <row r="57" spans="2:10" x14ac:dyDescent="0.25">
      <c r="B57" t="str">
        <f>"IPSA will accept this Year End form by email from either the MP or the proxy, no later than 23:59 on "&amp;Controls!$C$13&amp;", to "&amp;Controls!$C$15&amp;". Anything received after this deadline will not be considered."</f>
        <v>IPSA will accept this Year End form by email from either the MP or the proxy, no later than 23:59 on Thursday 14 April 2022, to info@theipsa.org.uk. Anything received after this deadline will not be considered.</v>
      </c>
    </row>
    <row r="58" spans="2:10" x14ac:dyDescent="0.25">
      <c r="B58" t="s">
        <v>180</v>
      </c>
    </row>
    <row r="60" spans="2:10" x14ac:dyDescent="0.25">
      <c r="B60" t="s">
        <v>181</v>
      </c>
    </row>
    <row r="62" spans="2:10" x14ac:dyDescent="0.25">
      <c r="B62" t="str">
        <f>"I understand that any Year End forms sent to IPSA after 23:59 on "&amp;Controls!$C$13&amp;" and/or sent to an alternative address to the above will not be accepted against the specified financial year on the form."</f>
        <v>I understand that any Year End forms sent to IPSA after 23:59 on Thursday 14 April 2022 and/or sent to an alternative address to the above will not be accepted against the specified financial year on the form.</v>
      </c>
    </row>
    <row r="63" spans="2:10" x14ac:dyDescent="0.25">
      <c r="B63" t="s">
        <v>182</v>
      </c>
    </row>
    <row r="64" spans="2:10" x14ac:dyDescent="0.25">
      <c r="B64" t="s">
        <v>183</v>
      </c>
    </row>
    <row r="67" spans="2:11" ht="18" customHeight="1" x14ac:dyDescent="0.25">
      <c r="B67" s="57" t="s">
        <v>184</v>
      </c>
      <c r="C67" s="58"/>
      <c r="D67" s="80"/>
      <c r="E67" s="81"/>
      <c r="G67" s="57" t="s">
        <v>185</v>
      </c>
      <c r="H67" s="59"/>
      <c r="I67" s="80"/>
      <c r="J67" s="81"/>
      <c r="K67" s="67"/>
    </row>
    <row r="68" spans="2:11" x14ac:dyDescent="0.25">
      <c r="B68" s="1"/>
      <c r="C68" s="1"/>
      <c r="G68" s="1"/>
    </row>
    <row r="69" spans="2:11" ht="18.75" customHeight="1" x14ac:dyDescent="0.25">
      <c r="B69" s="57" t="s">
        <v>186</v>
      </c>
      <c r="C69" s="58"/>
      <c r="D69" s="80"/>
      <c r="E69" s="81"/>
      <c r="F69" s="40"/>
      <c r="G69" s="57" t="s">
        <v>187</v>
      </c>
      <c r="H69" s="59"/>
      <c r="I69" s="83"/>
      <c r="J69" s="85"/>
      <c r="K69" s="68"/>
    </row>
  </sheetData>
  <sheetProtection algorithmName="SHA-512" hashValue="8l+hi672tN9KNWGh1mafPC9gMsIAwfSaMPw9evykT6M6MGJCMs+b1wVth3cu1fGKvfyEz0PlLrfZ8L+NDwnwig==" saltValue="ynVCHYwWwjgcK4aXH+JDuQ==" spinCount="100000" sheet="1" objects="1" formatColumns="0" formatRows="0" selectLockedCells="1"/>
  <mergeCells count="45">
    <mergeCell ref="B52:C52"/>
    <mergeCell ref="B51:C51"/>
    <mergeCell ref="B36:C36"/>
    <mergeCell ref="B37:C37"/>
    <mergeCell ref="B38:C38"/>
    <mergeCell ref="B10:J10"/>
    <mergeCell ref="B11:J11"/>
    <mergeCell ref="B12:J12"/>
    <mergeCell ref="B13:J13"/>
    <mergeCell ref="B14:J14"/>
    <mergeCell ref="B29:C29"/>
    <mergeCell ref="B30:C30"/>
    <mergeCell ref="B31:C31"/>
    <mergeCell ref="B32:C32"/>
    <mergeCell ref="B25:C25"/>
    <mergeCell ref="B26:C26"/>
    <mergeCell ref="B27:C27"/>
    <mergeCell ref="B28:C28"/>
    <mergeCell ref="B22:C22"/>
    <mergeCell ref="B23:C23"/>
    <mergeCell ref="B33:C33"/>
    <mergeCell ref="B24:C24"/>
    <mergeCell ref="B35:C35"/>
    <mergeCell ref="B34:C34"/>
    <mergeCell ref="I67:J67"/>
    <mergeCell ref="I69:J69"/>
    <mergeCell ref="B40:C40"/>
    <mergeCell ref="B41:C41"/>
    <mergeCell ref="B39:C39"/>
    <mergeCell ref="B42:C42"/>
    <mergeCell ref="B43:C43"/>
    <mergeCell ref="D67:E67"/>
    <mergeCell ref="D69:E69"/>
    <mergeCell ref="B44:C44"/>
    <mergeCell ref="B45:C45"/>
    <mergeCell ref="B46:C46"/>
    <mergeCell ref="B47:C47"/>
    <mergeCell ref="B48:C48"/>
    <mergeCell ref="B49:C49"/>
    <mergeCell ref="B50:C50"/>
    <mergeCell ref="B17:J17"/>
    <mergeCell ref="B18:J18"/>
    <mergeCell ref="B15:J15"/>
    <mergeCell ref="B16:J16"/>
    <mergeCell ref="B19:J19"/>
  </mergeCells>
  <conditionalFormatting sqref="B23:F52">
    <cfRule type="notContainsBlanks" dxfId="1" priority="1">
      <formula>LEN(TRIM(B23))&gt;0</formula>
    </cfRule>
    <cfRule type="expression" dxfId="0" priority="2">
      <formula>$G23&lt;&gt;""</formula>
    </cfRule>
  </conditionalFormatting>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his field is mandatory, please select from the drop-down list" prompt="Please select whether the transaction is an actual amount or an estimated amount" xr:uid="{F6212249-2102-4E66-9721-81353286377F}">
          <x14:formula1>
            <xm:f>Controls!$M$5:$M$6</xm:f>
          </x14:formula1>
          <xm:sqref>F23:F52</xm:sqref>
        </x14:dataValidation>
        <x14:dataValidation type="list" allowBlank="1" showInputMessage="1" showErrorMessage="1" error="This field is mandatory, please select from the drop-down list" prompt="Please select the budget that the transaction is/will be met from" xr:uid="{59B9B17C-7DE9-4E1A-B367-32F86E4CAAA9}">
          <x14:formula1>
            <xm:f>Controls!$J$23:$J$30</xm:f>
          </x14:formula1>
          <xm:sqref>E23:F52</xm:sqref>
        </x14:dataValidation>
        <x14:dataValidation type="list" allowBlank="1" showInputMessage="1" showErrorMessage="1" error="This field is mandatory, please select from the drop-down list" prompt="Please select the nature of the cost" xr:uid="{DA539171-B603-4F4D-AD29-37D8C195D344}">
          <x14:formula1>
            <xm:f>Controls!$N$5:$N$12</xm:f>
          </x14:formula1>
          <xm:sqref>B23:C52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285953BC025F46BF606F73A20A7422" ma:contentTypeVersion="6" ma:contentTypeDescription="Create a new document." ma:contentTypeScope="" ma:versionID="ba9b2d8430bb3b2a93d460abc509efff">
  <xsd:schema xmlns:xsd="http://www.w3.org/2001/XMLSchema" xmlns:xs="http://www.w3.org/2001/XMLSchema" xmlns:p="http://schemas.microsoft.com/office/2006/metadata/properties" xmlns:ns2="ceafdee7-b5bc-4f26-a7db-efba2e0814d3" xmlns:ns3="63002c94-7a3d-43d4-88e4-0657b518370a" targetNamespace="http://schemas.microsoft.com/office/2006/metadata/properties" ma:root="true" ma:fieldsID="2d2b75491bfd5492d895dba9ce2a9840" ns2:_="" ns3:_="">
    <xsd:import namespace="ceafdee7-b5bc-4f26-a7db-efba2e0814d3"/>
    <xsd:import namespace="63002c94-7a3d-43d4-88e4-0657b51837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afdee7-b5bc-4f26-a7db-efba2e081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002c94-7a3d-43d4-88e4-0657b518370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6D8C83-2026-49E2-A9B2-735C17A6A59A}">
  <ds:schemaRefs>
    <ds:schemaRef ds:uri="http://schemas.microsoft.com/sharepoint/v3/contenttype/forms"/>
  </ds:schemaRefs>
</ds:datastoreItem>
</file>

<file path=customXml/itemProps2.xml><?xml version="1.0" encoding="utf-8"?>
<ds:datastoreItem xmlns:ds="http://schemas.openxmlformats.org/officeDocument/2006/customXml" ds:itemID="{56ABF371-F5AE-480A-91C9-0B12E4E053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afdee7-b5bc-4f26-a7db-efba2e0814d3"/>
    <ds:schemaRef ds:uri="63002c94-7a3d-43d4-88e4-0657b5183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DB6E15-1CD4-44EA-8E1E-EDEE5174E3F4}">
  <ds:schemaRefs>
    <ds:schemaRef ds:uri="63002c94-7a3d-43d4-88e4-0657b518370a"/>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ceafdee7-b5bc-4f26-a7db-efba2e0814d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Controls</vt:lpstr>
      <vt:lpstr>Guidance</vt:lpstr>
      <vt:lpstr>Year End Form - G&amp;S</vt:lpstr>
      <vt:lpstr>Year End Form - Payroll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dc:creator>
  <cp:keywords/>
  <dc:description/>
  <cp:lastModifiedBy>Jenni Patterson</cp:lastModifiedBy>
  <cp:revision/>
  <dcterms:created xsi:type="dcterms:W3CDTF">2021-01-07T10:48:36Z</dcterms:created>
  <dcterms:modified xsi:type="dcterms:W3CDTF">2022-02-04T11:25:22Z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0x010100F7285953BC025F46BF606F73A20A7422</vt:lpwstr>
  </property>
</Properties>
</file>