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cancerresearchuko365-my.sharepoint.com/personal/bradley_gibbons_cancer_org_uk/Documents/Downloads/"/>
    </mc:Choice>
  </mc:AlternateContent>
  <xr:revisionPtr revIDLastSave="0" documentId="10_ncr:100000_{F05AF62E-C5BA-490A-91B0-9ED7438E0965}" xr6:coauthVersionLast="31" xr6:coauthVersionMax="31" xr10:uidLastSave="{00000000-0000-0000-0000-000000000000}"/>
  <workbookProtection lockStructure="1"/>
  <bookViews>
    <workbookView xWindow="0" yWindow="0" windowWidth="19200" windowHeight="7100" xr2:uid="{00000000-000D-0000-FFFF-FFFF00000000}"/>
  </bookViews>
  <sheets>
    <sheet name="Cases" sheetId="7" r:id="rId1"/>
    <sheet name="Percentages" sheetId="9" r:id="rId2"/>
    <sheet name="Proportions" sheetId="15" r:id="rId3"/>
    <sheet name="Title page" sheetId="6" state="hidden" r:id="rId4"/>
    <sheet name="England" sheetId="1" state="hidden" r:id="rId5"/>
    <sheet name="England (2)" sheetId="10" state="hidden" r:id="rId6"/>
    <sheet name="Scotland" sheetId="2" state="hidden" r:id="rId7"/>
    <sheet name="Scotland (2)" sheetId="11" state="hidden" r:id="rId8"/>
    <sheet name="Wales" sheetId="3" state="hidden" r:id="rId9"/>
    <sheet name="Wales (2)" sheetId="12" state="hidden" r:id="rId10"/>
    <sheet name="Northern Ireland" sheetId="4" state="hidden" r:id="rId11"/>
    <sheet name="Northern Ireland (2)" sheetId="14" state="hidden" r:id="rId12"/>
    <sheet name="UK" sheetId="5" state="hidden" r:id="rId13"/>
    <sheet name="UK (2)" sheetId="13" state="hidden" r:id="rId14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7" l="1"/>
  <c r="H3" i="7"/>
  <c r="I3" i="7"/>
  <c r="X3" i="7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I3" i="15"/>
  <c r="X3" i="15"/>
  <c r="I7" i="15"/>
  <c r="X7" i="15"/>
  <c r="I11" i="15"/>
  <c r="X11" i="15"/>
  <c r="I15" i="15"/>
  <c r="X15" i="15"/>
  <c r="I4" i="15"/>
  <c r="X4" i="15"/>
  <c r="I8" i="15"/>
  <c r="X8" i="15"/>
  <c r="I12" i="15"/>
  <c r="X12" i="15"/>
  <c r="I16" i="15"/>
  <c r="X16" i="15"/>
  <c r="I5" i="15"/>
  <c r="X5" i="15"/>
  <c r="I9" i="15"/>
  <c r="X9" i="15"/>
  <c r="I13" i="15"/>
  <c r="X13" i="15"/>
  <c r="I17" i="15"/>
  <c r="X17" i="15"/>
  <c r="I6" i="15"/>
  <c r="X6" i="15"/>
  <c r="I10" i="15"/>
  <c r="X10" i="15"/>
  <c r="I14" i="15"/>
  <c r="X14" i="15"/>
  <c r="A11" i="15"/>
  <c r="H17" i="9"/>
  <c r="I17" i="9"/>
  <c r="X17" i="9"/>
  <c r="H16" i="9"/>
  <c r="I16" i="9"/>
  <c r="X16" i="9"/>
  <c r="H15" i="9"/>
  <c r="I15" i="9"/>
  <c r="X15" i="9"/>
  <c r="H14" i="9"/>
  <c r="I14" i="9"/>
  <c r="X14" i="9"/>
  <c r="H13" i="9"/>
  <c r="I13" i="9"/>
  <c r="X13" i="9"/>
  <c r="H12" i="9"/>
  <c r="I12" i="9"/>
  <c r="X12" i="9"/>
  <c r="H11" i="9"/>
  <c r="I11" i="9"/>
  <c r="X11" i="9"/>
  <c r="H10" i="9"/>
  <c r="I10" i="9"/>
  <c r="X10" i="9"/>
  <c r="H9" i="9"/>
  <c r="I9" i="9"/>
  <c r="X9" i="9"/>
  <c r="H8" i="9"/>
  <c r="I8" i="9"/>
  <c r="X8" i="9"/>
  <c r="H7" i="9"/>
  <c r="I7" i="9"/>
  <c r="X7" i="9"/>
  <c r="H6" i="9"/>
  <c r="I6" i="9"/>
  <c r="X6" i="9"/>
  <c r="H5" i="9"/>
  <c r="I5" i="9"/>
  <c r="X5" i="9"/>
  <c r="H4" i="9"/>
  <c r="I4" i="9"/>
  <c r="X4" i="9"/>
  <c r="H3" i="9"/>
  <c r="I3" i="9"/>
  <c r="X3" i="9"/>
  <c r="BG55" i="14"/>
  <c r="AU55" i="14"/>
  <c r="AQ55" i="14"/>
  <c r="AM55" i="14"/>
  <c r="AA55" i="14"/>
  <c r="Y55" i="14"/>
  <c r="W55" i="14"/>
  <c r="Q55" i="14"/>
  <c r="K55" i="14"/>
  <c r="I55" i="14"/>
  <c r="E55" i="14"/>
  <c r="BG34" i="14"/>
  <c r="AU34" i="14"/>
  <c r="AQ34" i="14"/>
  <c r="AM34" i="14"/>
  <c r="AA34" i="14"/>
  <c r="Y34" i="14"/>
  <c r="W34" i="14"/>
  <c r="Q34" i="14"/>
  <c r="K34" i="14"/>
  <c r="I34" i="14"/>
  <c r="E34" i="14"/>
  <c r="BG14" i="14"/>
  <c r="AU14" i="14"/>
  <c r="AA14" i="14"/>
  <c r="Y14" i="14"/>
  <c r="W14" i="14"/>
  <c r="S14" i="14"/>
  <c r="Q14" i="14"/>
  <c r="K14" i="14"/>
  <c r="I14" i="14"/>
  <c r="E14" i="14"/>
  <c r="BG55" i="13"/>
  <c r="AU55" i="13"/>
  <c r="AQ55" i="13"/>
  <c r="AM55" i="13"/>
  <c r="AA55" i="13"/>
  <c r="Y55" i="13"/>
  <c r="W55" i="13"/>
  <c r="Q55" i="13"/>
  <c r="K55" i="13"/>
  <c r="I55" i="13"/>
  <c r="E55" i="13"/>
  <c r="BG34" i="13"/>
  <c r="AU34" i="13"/>
  <c r="AQ34" i="13"/>
  <c r="AM34" i="13"/>
  <c r="AA34" i="13"/>
  <c r="Y34" i="13"/>
  <c r="W34" i="13"/>
  <c r="Q34" i="13"/>
  <c r="K34" i="13"/>
  <c r="I34" i="13"/>
  <c r="E34" i="13"/>
  <c r="BG14" i="13"/>
  <c r="AU14" i="13"/>
  <c r="AA14" i="13"/>
  <c r="Y14" i="13"/>
  <c r="W14" i="13"/>
  <c r="S14" i="13"/>
  <c r="Q14" i="13"/>
  <c r="K14" i="13"/>
  <c r="I14" i="13"/>
  <c r="E14" i="13"/>
  <c r="BG55" i="12"/>
  <c r="AU55" i="12"/>
  <c r="AQ55" i="12"/>
  <c r="AM55" i="12"/>
  <c r="AA55" i="12"/>
  <c r="Y55" i="12"/>
  <c r="W55" i="12"/>
  <c r="Q55" i="12"/>
  <c r="K55" i="12"/>
  <c r="I55" i="12"/>
  <c r="E55" i="12"/>
  <c r="BG34" i="12"/>
  <c r="AU34" i="12"/>
  <c r="AQ34" i="12"/>
  <c r="AM34" i="12"/>
  <c r="AA34" i="12"/>
  <c r="Y34" i="12"/>
  <c r="W34" i="12"/>
  <c r="Q34" i="12"/>
  <c r="K34" i="12"/>
  <c r="I34" i="12"/>
  <c r="E34" i="12"/>
  <c r="BG14" i="12"/>
  <c r="AU14" i="12"/>
  <c r="AA14" i="12"/>
  <c r="Y14" i="12"/>
  <c r="W14" i="12"/>
  <c r="S14" i="12"/>
  <c r="Q14" i="12"/>
  <c r="K14" i="12"/>
  <c r="I14" i="12"/>
  <c r="E14" i="12"/>
  <c r="BG55" i="11"/>
  <c r="AU55" i="11"/>
  <c r="AQ55" i="11"/>
  <c r="AM55" i="11"/>
  <c r="AA55" i="11"/>
  <c r="Y55" i="11"/>
  <c r="W55" i="11"/>
  <c r="Q55" i="11"/>
  <c r="K55" i="11"/>
  <c r="I55" i="11"/>
  <c r="E55" i="11"/>
  <c r="BG34" i="11"/>
  <c r="AU34" i="11"/>
  <c r="AQ34" i="11"/>
  <c r="AM34" i="11"/>
  <c r="AA34" i="11"/>
  <c r="Y34" i="11"/>
  <c r="W34" i="11"/>
  <c r="Q34" i="11"/>
  <c r="K34" i="11"/>
  <c r="I34" i="11"/>
  <c r="E34" i="11"/>
  <c r="BG14" i="11"/>
  <c r="AU14" i="11"/>
  <c r="AA14" i="11"/>
  <c r="Y14" i="11"/>
  <c r="W14" i="11"/>
  <c r="S14" i="11"/>
  <c r="Q14" i="11"/>
  <c r="K14" i="11"/>
  <c r="I14" i="11"/>
  <c r="E14" i="11"/>
  <c r="BG55" i="10"/>
  <c r="AU55" i="10"/>
  <c r="AQ55" i="10"/>
  <c r="AM55" i="10"/>
  <c r="AA55" i="10"/>
  <c r="Y55" i="10"/>
  <c r="W55" i="10"/>
  <c r="Q55" i="10"/>
  <c r="K55" i="10"/>
  <c r="I55" i="10"/>
  <c r="E55" i="10"/>
  <c r="BG34" i="10"/>
  <c r="AU34" i="10"/>
  <c r="AQ34" i="10"/>
  <c r="AM34" i="10"/>
  <c r="AA34" i="10"/>
  <c r="Y34" i="10"/>
  <c r="W34" i="10"/>
  <c r="Q34" i="10"/>
  <c r="K34" i="10"/>
  <c r="I34" i="10"/>
  <c r="E34" i="10"/>
  <c r="BG14" i="10"/>
  <c r="AU14" i="10"/>
  <c r="AA14" i="10"/>
  <c r="Y14" i="10"/>
  <c r="W14" i="10"/>
  <c r="S14" i="10"/>
  <c r="Q14" i="10"/>
  <c r="K14" i="10"/>
  <c r="I14" i="10"/>
  <c r="E14" i="10"/>
  <c r="A11" i="9"/>
  <c r="H17" i="7"/>
  <c r="I17" i="7"/>
  <c r="H16" i="7"/>
  <c r="I16" i="7"/>
  <c r="H15" i="7"/>
  <c r="I15" i="7"/>
  <c r="H14" i="7"/>
  <c r="I14" i="7"/>
  <c r="H13" i="7"/>
  <c r="I13" i="7"/>
  <c r="H12" i="7"/>
  <c r="I12" i="7"/>
  <c r="H11" i="7"/>
  <c r="I11" i="7"/>
  <c r="H10" i="7"/>
  <c r="I10" i="7"/>
  <c r="H9" i="7"/>
  <c r="I9" i="7"/>
  <c r="H8" i="7"/>
  <c r="I8" i="7"/>
  <c r="I7" i="7"/>
  <c r="H6" i="7"/>
  <c r="I6" i="7"/>
  <c r="H5" i="7"/>
  <c r="I5" i="7"/>
  <c r="H4" i="7"/>
  <c r="I4" i="7"/>
  <c r="X5" i="7"/>
  <c r="X7" i="7"/>
  <c r="X9" i="7"/>
  <c r="X11" i="7"/>
  <c r="X13" i="7"/>
  <c r="X15" i="7"/>
  <c r="X17" i="7"/>
  <c r="X4" i="7"/>
  <c r="X6" i="7"/>
  <c r="X8" i="7"/>
  <c r="X10" i="7"/>
  <c r="X12" i="7"/>
  <c r="X14" i="7"/>
  <c r="X16" i="7"/>
  <c r="BG55" i="1"/>
  <c r="AU55" i="1"/>
  <c r="AQ55" i="1"/>
  <c r="AM55" i="1"/>
  <c r="AA55" i="1"/>
  <c r="Y55" i="1"/>
  <c r="W55" i="1"/>
  <c r="Q55" i="1"/>
  <c r="K55" i="1"/>
  <c r="I55" i="1"/>
  <c r="E55" i="1"/>
  <c r="E34" i="1"/>
  <c r="I34" i="1"/>
  <c r="K34" i="1"/>
  <c r="Q34" i="1"/>
  <c r="W34" i="1"/>
  <c r="Y34" i="1"/>
  <c r="AA34" i="1"/>
  <c r="AM34" i="1"/>
  <c r="AQ34" i="1"/>
  <c r="AU34" i="1"/>
  <c r="BG34" i="1"/>
  <c r="BG14" i="1"/>
  <c r="AU14" i="1"/>
  <c r="AA14" i="1"/>
  <c r="Y14" i="1"/>
  <c r="W14" i="1"/>
  <c r="S14" i="1"/>
  <c r="Q14" i="1"/>
  <c r="K14" i="1"/>
  <c r="I14" i="1"/>
  <c r="E14" i="1"/>
  <c r="BG14" i="2"/>
  <c r="AU14" i="2"/>
  <c r="AA14" i="2"/>
  <c r="Y14" i="2"/>
  <c r="W14" i="2"/>
  <c r="S14" i="2"/>
  <c r="Q14" i="2"/>
  <c r="K14" i="2"/>
  <c r="I14" i="2"/>
  <c r="E14" i="2"/>
  <c r="E34" i="2"/>
  <c r="I34" i="2"/>
  <c r="K34" i="2"/>
  <c r="Q34" i="2"/>
  <c r="W34" i="2"/>
  <c r="Y34" i="2"/>
  <c r="AA34" i="2"/>
  <c r="AM34" i="2"/>
  <c r="AQ34" i="2"/>
  <c r="AU34" i="2"/>
  <c r="BG34" i="2"/>
  <c r="BG55" i="2"/>
  <c r="AU55" i="2"/>
  <c r="AQ55" i="2"/>
  <c r="AM55" i="2"/>
  <c r="AA55" i="2"/>
  <c r="Y55" i="2"/>
  <c r="W55" i="2"/>
  <c r="Q55" i="2"/>
  <c r="K55" i="2"/>
  <c r="I55" i="2"/>
  <c r="E55" i="2"/>
  <c r="E55" i="3"/>
  <c r="I55" i="3"/>
  <c r="K55" i="3"/>
  <c r="Q55" i="3"/>
  <c r="W55" i="3"/>
  <c r="Y55" i="3"/>
  <c r="AA55" i="3"/>
  <c r="AM55" i="3"/>
  <c r="AQ55" i="3"/>
  <c r="AU55" i="3"/>
  <c r="BG55" i="3"/>
  <c r="BG34" i="3"/>
  <c r="AU34" i="3"/>
  <c r="AQ34" i="3"/>
  <c r="AM34" i="3"/>
  <c r="AA34" i="3"/>
  <c r="Y34" i="3"/>
  <c r="W34" i="3"/>
  <c r="Q34" i="3"/>
  <c r="K34" i="3"/>
  <c r="I34" i="3"/>
  <c r="E34" i="3"/>
  <c r="BG14" i="3"/>
  <c r="AU14" i="3"/>
  <c r="AA14" i="3"/>
  <c r="Y14" i="3"/>
  <c r="W14" i="3"/>
  <c r="S14" i="3"/>
  <c r="Q14" i="3"/>
  <c r="K14" i="3"/>
  <c r="I14" i="3"/>
  <c r="E14" i="3"/>
  <c r="BG14" i="4"/>
  <c r="AU14" i="4"/>
  <c r="AA14" i="4"/>
  <c r="Y14" i="4"/>
  <c r="W14" i="4"/>
  <c r="S14" i="4"/>
  <c r="Q14" i="4"/>
  <c r="K14" i="4"/>
  <c r="I14" i="4"/>
  <c r="E14" i="4"/>
  <c r="E34" i="4"/>
  <c r="I34" i="4"/>
  <c r="K34" i="4"/>
  <c r="Q34" i="4"/>
  <c r="W34" i="4"/>
  <c r="Y34" i="4"/>
  <c r="AA34" i="4"/>
  <c r="AM34" i="4"/>
  <c r="AQ34" i="4"/>
  <c r="AU34" i="4"/>
  <c r="BG34" i="4"/>
  <c r="BG55" i="4"/>
  <c r="AU55" i="4"/>
  <c r="AQ55" i="4"/>
  <c r="AM55" i="4"/>
  <c r="AA55" i="4"/>
  <c r="Y55" i="4"/>
  <c r="W55" i="4"/>
  <c r="Q55" i="4"/>
  <c r="K55" i="4"/>
  <c r="I55" i="4"/>
  <c r="E55" i="4"/>
  <c r="BG34" i="5"/>
  <c r="AU34" i="5"/>
  <c r="AQ34" i="5"/>
  <c r="AM34" i="5"/>
  <c r="AA34" i="5"/>
  <c r="Y34" i="5"/>
  <c r="W34" i="5"/>
  <c r="Q34" i="5"/>
  <c r="K34" i="5"/>
  <c r="I34" i="5"/>
  <c r="E34" i="5"/>
  <c r="BG14" i="5"/>
  <c r="AU14" i="5"/>
  <c r="AA14" i="5"/>
  <c r="Y14" i="5"/>
  <c r="W14" i="5"/>
  <c r="S14" i="5"/>
  <c r="Q14" i="5"/>
  <c r="K14" i="5"/>
  <c r="I14" i="5"/>
  <c r="E14" i="5"/>
  <c r="BG55" i="5"/>
  <c r="AU55" i="5"/>
  <c r="AQ55" i="5"/>
  <c r="AM55" i="5"/>
  <c r="AA55" i="5"/>
  <c r="Y55" i="5"/>
  <c r="W55" i="5"/>
  <c r="Q55" i="5"/>
  <c r="K55" i="5"/>
  <c r="I55" i="5"/>
  <c r="E55" i="5"/>
  <c r="A11" i="7"/>
</calcChain>
</file>

<file path=xl/sharedStrings.xml><?xml version="1.0" encoding="utf-8"?>
<sst xmlns="http://schemas.openxmlformats.org/spreadsheetml/2006/main" count="4125" uniqueCount="233">
  <si>
    <t>ENGLAND</t>
  </si>
  <si>
    <t>Melanoma (C43)</t>
  </si>
  <si>
    <t>Kaposi sarcoma
(C46)</t>
  </si>
  <si>
    <t>Hodgkin lymphoma (C81)</t>
  </si>
  <si>
    <t>MALES</t>
  </si>
  <si>
    <t xml:space="preserve">Cancer Incidence </t>
  </si>
  <si>
    <t>n/a</t>
  </si>
  <si>
    <t>PAF (%)</t>
  </si>
  <si>
    <t>Att. Cases</t>
  </si>
  <si>
    <t>Tobacco</t>
  </si>
  <si>
    <t>Alcohol</t>
  </si>
  <si>
    <t>Overweight and obesity</t>
  </si>
  <si>
    <t>Infections</t>
  </si>
  <si>
    <t>Radiation - ionising</t>
  </si>
  <si>
    <t>Radiation - UV</t>
  </si>
  <si>
    <t>Occupation</t>
  </si>
  <si>
    <t>Air pollution</t>
  </si>
  <si>
    <t>FEMALES</t>
  </si>
  <si>
    <t>Cancer Incidence</t>
  </si>
  <si>
    <t>Post-menopausal hormones</t>
  </si>
  <si>
    <t>Oral contraceptives</t>
  </si>
  <si>
    <t>PERSONS</t>
  </si>
  <si>
    <t>Bowel
(C18-C20)</t>
  </si>
  <si>
    <t>SCOTLAND</t>
  </si>
  <si>
    <t>WALES</t>
  </si>
  <si>
    <t>NORTHERN IRELAND</t>
  </si>
  <si>
    <t>UK</t>
  </si>
  <si>
    <t>Anus 
(C21)</t>
  </si>
  <si>
    <t>Liver 
(C22)</t>
  </si>
  <si>
    <t>Larynx 
(C32)</t>
  </si>
  <si>
    <t>Lung 
(C33-C34)</t>
  </si>
  <si>
    <t>Mesothelioma (C45)</t>
  </si>
  <si>
    <t>Breast 
(C50)</t>
  </si>
  <si>
    <t>Vulva 
(C51)</t>
  </si>
  <si>
    <t>Vagina 
(C52)</t>
  </si>
  <si>
    <t>Cervix 
(C53)</t>
  </si>
  <si>
    <t>Uterus 
(C54-C55)</t>
  </si>
  <si>
    <t>Ovary 
(C56)</t>
  </si>
  <si>
    <t>Penis 
(C60)</t>
  </si>
  <si>
    <t>Bladder 
(C67)</t>
  </si>
  <si>
    <t>Kidney 
(C64-C66, C68)</t>
  </si>
  <si>
    <t>Thyroid 
(C73)</t>
  </si>
  <si>
    <t>Oral cavity 
(C00-C06)</t>
  </si>
  <si>
    <t>Pharynx 
(C09, C10, C12-C14)</t>
  </si>
  <si>
    <t>Oesophagus 
(C15)</t>
  </si>
  <si>
    <t>Stomach 
(C16)</t>
  </si>
  <si>
    <t>Nasopharynx 
(C11)</t>
  </si>
  <si>
    <t>Pancreas 
(C25)</t>
  </si>
  <si>
    <t>Gallbladder 
(C23)</t>
  </si>
  <si>
    <t>Myeloma 
(C90)</t>
  </si>
  <si>
    <t>Non-Hodgkin lymphoma 
(C82-C85, C96)</t>
  </si>
  <si>
    <t>Leukaemia 
(C91-C95)</t>
  </si>
  <si>
    <t>Brain and other central nervous system 
(C70-C72)</t>
  </si>
  <si>
    <t>All cancers excl NMSC 
(C00-C97 excl C44)</t>
  </si>
  <si>
    <t>Not breastfeeding</t>
  </si>
  <si>
    <t>Processed meat</t>
  </si>
  <si>
    <t>Insufficient fibre</t>
  </si>
  <si>
    <t>The fraction of cancer attributable to modifiable risk factors in England, Wales, Scotland, Northern Ireland, and the United Kingdom in 2015</t>
  </si>
  <si>
    <t>Supplementary Material F: Results by country, risk factor and cancer type combinations</t>
  </si>
  <si>
    <r>
      <t>KF Brown</t>
    </r>
    <r>
      <rPr>
        <vertAlign val="superscript"/>
        <sz val="11"/>
        <color theme="1"/>
        <rFont val="Calibri"/>
        <family val="2"/>
        <scheme val="minor"/>
      </rPr>
      <t>1*</t>
    </r>
    <r>
      <rPr>
        <sz val="11"/>
        <color theme="1"/>
        <rFont val="Calibri"/>
        <family val="2"/>
        <scheme val="minor"/>
      </rPr>
      <t>, H Rumgay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C Dunlop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M Ryan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F Quartly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A Cox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A Deas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L Elliss-Brookes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A Gavin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, L Hounsome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D Huws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N Ormiston-Smith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J Shelton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C White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DM Parkin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.</t>
    </r>
  </si>
  <si>
    <r>
      <t>*</t>
    </r>
    <r>
      <rPr>
        <sz val="9"/>
        <color theme="1"/>
        <rFont val="Calibri"/>
        <family val="2"/>
        <scheme val="minor"/>
      </rPr>
      <t xml:space="preserve"> Correspondence: Dr Katrina Brown, katrina.brown@cancer.org.uk or stats.team@cancer.org.uk</t>
    </r>
    <r>
      <rPr>
        <u/>
        <sz val="9"/>
        <color rgb="FF0563C1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 xml:space="preserve">  </t>
    </r>
  </si>
  <si>
    <r>
      <t>1</t>
    </r>
    <r>
      <rPr>
        <sz val="9"/>
        <color theme="1"/>
        <rFont val="Calibri"/>
        <family val="2"/>
        <scheme val="minor"/>
      </rPr>
      <t xml:space="preserve"> Policy and Information Directorate, Cancer Research UK, The Angel Building, 407 St John Street, London EC1V 4AD; </t>
    </r>
    <r>
      <rPr>
        <vertAlign val="superscript"/>
        <sz val="9"/>
        <color theme="1"/>
        <rFont val="Calibri"/>
        <family val="2"/>
        <scheme val="minor"/>
      </rPr>
      <t/>
    </r>
  </si>
  <si>
    <r>
      <t xml:space="preserve">2 </t>
    </r>
    <r>
      <rPr>
        <sz val="9"/>
        <color theme="1"/>
        <rFont val="Calibri"/>
        <family val="2"/>
        <scheme val="minor"/>
      </rPr>
      <t>NHS National Services Scotland, Information Services Division, Meridian Court, 5 Cadogan Street, Glasgow G2 6QE;</t>
    </r>
  </si>
  <si>
    <r>
      <t>3</t>
    </r>
    <r>
      <rPr>
        <sz val="9"/>
        <color theme="1"/>
        <rFont val="Calibri"/>
        <family val="2"/>
        <scheme val="minor"/>
      </rPr>
      <t xml:space="preserve"> National Cancer Registration and Analysis Service, Public Health England, 2nd Floor, Skipton House, 80 London Road, London SE1 6LH; </t>
    </r>
    <r>
      <rPr>
        <vertAlign val="superscript"/>
        <sz val="9"/>
        <color theme="1"/>
        <rFont val="Calibri"/>
        <family val="2"/>
        <scheme val="minor"/>
      </rPr>
      <t xml:space="preserve"> </t>
    </r>
  </si>
  <si>
    <r>
      <rPr>
        <vertAlign val="superscript"/>
        <sz val="9"/>
        <color theme="1"/>
        <rFont val="Calibri"/>
        <family val="2"/>
        <scheme val="minor"/>
      </rPr>
      <t>4</t>
    </r>
    <r>
      <rPr>
        <sz val="9"/>
        <color theme="1"/>
        <rFont val="Calibri"/>
        <family val="2"/>
        <scheme val="minor"/>
      </rPr>
      <t xml:space="preserve"> Northern Ireland Cancer Registry, Centre for Public Health, Queens University Belfast, Mulhouse Building, Grosvenor Road, Belfast  BT12 6DP; </t>
    </r>
  </si>
  <si>
    <r>
      <t xml:space="preserve">5 </t>
    </r>
    <r>
      <rPr>
        <sz val="9"/>
        <color theme="1"/>
        <rFont val="Calibri"/>
        <family val="2"/>
        <scheme val="minor"/>
      </rPr>
      <t xml:space="preserve">Welsh Cancer Intelligence and Surveillance Unit, Floor 5, Public Health Wales, Number 2 Capital Quarter, Tyndall Street, Cardiff CF10 4BZ; </t>
    </r>
  </si>
  <si>
    <r>
      <t xml:space="preserve">6 </t>
    </r>
    <r>
      <rPr>
        <sz val="9"/>
        <color theme="1"/>
        <rFont val="Calibri"/>
        <family val="2"/>
        <scheme val="minor"/>
      </rPr>
      <t>Centre for Cancer Prevention, Wolfson Institute of Preventive Medicine, Queen Mary University of London, Charterhouse Square, London EC1M 6BQ</t>
    </r>
  </si>
  <si>
    <t>Please see separate PDF file for Supplementary Material A-E</t>
  </si>
  <si>
    <t>NA</t>
  </si>
  <si>
    <t>cancer</t>
  </si>
  <si>
    <t>Countries</t>
  </si>
  <si>
    <t>Sexes</t>
  </si>
  <si>
    <t>Cancers</t>
  </si>
  <si>
    <t>Risk factors</t>
  </si>
  <si>
    <t>England</t>
  </si>
  <si>
    <t>Scotland</t>
  </si>
  <si>
    <t>Wales</t>
  </si>
  <si>
    <t>Northern Ireland</t>
  </si>
  <si>
    <t>Females</t>
  </si>
  <si>
    <t>Persons</t>
  </si>
  <si>
    <t>Country</t>
  </si>
  <si>
    <t>Sex</t>
  </si>
  <si>
    <t>Cancer</t>
  </si>
  <si>
    <t>Risk factor</t>
  </si>
  <si>
    <t>oral cavity cancer</t>
  </si>
  <si>
    <t>oesophageal cancer</t>
  </si>
  <si>
    <t>DROPDOWNS</t>
  </si>
  <si>
    <t>Causes or could prevent</t>
  </si>
  <si>
    <t>causes</t>
  </si>
  <si>
    <t>could prevent</t>
  </si>
  <si>
    <t>VLOOKUPS</t>
  </si>
  <si>
    <t>the UK</t>
  </si>
  <si>
    <t>females</t>
  </si>
  <si>
    <t>persons</t>
  </si>
  <si>
    <t>Males</t>
  </si>
  <si>
    <t>males</t>
  </si>
  <si>
    <t>nasopharyngeal cancer</t>
  </si>
  <si>
    <t>pharyngeal cancer</t>
  </si>
  <si>
    <t>stomach cancer</t>
  </si>
  <si>
    <t>bowel cancer</t>
  </si>
  <si>
    <t>anal cancer</t>
  </si>
  <si>
    <t>liver cancer</t>
  </si>
  <si>
    <t>pancreatic cancer</t>
  </si>
  <si>
    <t>gallbladder cancer</t>
  </si>
  <si>
    <t>laryngeal cancer</t>
  </si>
  <si>
    <t>lung cancer</t>
  </si>
  <si>
    <t>mesothelioma</t>
  </si>
  <si>
    <t>melanoma skin cancer</t>
  </si>
  <si>
    <t>Kaposi sarcoma</t>
  </si>
  <si>
    <t>breast cancer</t>
  </si>
  <si>
    <t>vulval cancer</t>
  </si>
  <si>
    <t>vaginal cancer</t>
  </si>
  <si>
    <t>cervical cancer</t>
  </si>
  <si>
    <t>uterine cancer</t>
  </si>
  <si>
    <t>ovarian cancer</t>
  </si>
  <si>
    <t>bladder cancer</t>
  </si>
  <si>
    <t>kidney cancer</t>
  </si>
  <si>
    <t>thyroid cancer</t>
  </si>
  <si>
    <t>myeloma</t>
  </si>
  <si>
    <t>Hodgkin lymphoma</t>
  </si>
  <si>
    <t>non-Hodgkin lymphoma</t>
  </si>
  <si>
    <t>leukaemia</t>
  </si>
  <si>
    <t>brain and other central nervous system tumours</t>
  </si>
  <si>
    <t>Risk factors - causes</t>
  </si>
  <si>
    <t>Risk factors - could prevent</t>
  </si>
  <si>
    <t>Eating too little fibre</t>
  </si>
  <si>
    <t>Cutting down on processed meat</t>
  </si>
  <si>
    <t>Keeping a healthy weight</t>
  </si>
  <si>
    <t>Avoiding certain substances at work</t>
  </si>
  <si>
    <t>Exposure to certain substances at work</t>
  </si>
  <si>
    <t>penile cancer</t>
  </si>
  <si>
    <t>NUMBER</t>
  </si>
  <si>
    <t>Exact</t>
  </si>
  <si>
    <t>Rounded</t>
  </si>
  <si>
    <t>STATEMENTS</t>
  </si>
  <si>
    <t>UK Males</t>
  </si>
  <si>
    <t>England Males</t>
  </si>
  <si>
    <t>Scotland Males</t>
  </si>
  <si>
    <t>Wales Males</t>
  </si>
  <si>
    <t>Northern Ireland Males</t>
  </si>
  <si>
    <t>UK Females</t>
  </si>
  <si>
    <t>England Females</t>
  </si>
  <si>
    <t>Scotland Females</t>
  </si>
  <si>
    <t>Wales Females</t>
  </si>
  <si>
    <t>Northern Ireland Females</t>
  </si>
  <si>
    <t>UK Persons</t>
  </si>
  <si>
    <t>England Persons</t>
  </si>
  <si>
    <t>Scotland Persons</t>
  </si>
  <si>
    <t>Wales Persons</t>
  </si>
  <si>
    <t>Northern Ireland Persons</t>
  </si>
  <si>
    <t>Drinking less alcohol</t>
  </si>
  <si>
    <t>Eating a high fibre diet</t>
  </si>
  <si>
    <t>Statement</t>
  </si>
  <si>
    <t>Footnote</t>
  </si>
  <si>
    <t>Build your statement by selecting from the 5 dropdown menus below. You can simply paste the statement into your work. Please do not amend any wording or numbers.</t>
  </si>
  <si>
    <t>PREVENTABLE CANCERS STATEMENT GENERATOR</t>
  </si>
  <si>
    <t>Exposure to certain infections</t>
  </si>
  <si>
    <t>%</t>
  </si>
  <si>
    <t>Frequencies X in 10</t>
  </si>
  <si>
    <t>1 in 10</t>
  </si>
  <si>
    <t>2 in 10</t>
  </si>
  <si>
    <t>3 in 10</t>
  </si>
  <si>
    <t>4 in 10</t>
  </si>
  <si>
    <t>5 in 10</t>
  </si>
  <si>
    <t>6 in 10</t>
  </si>
  <si>
    <t>7 in 10</t>
  </si>
  <si>
    <t>8 in 10</t>
  </si>
  <si>
    <t>9 in 10</t>
  </si>
  <si>
    <t>almost 3 in 10</t>
  </si>
  <si>
    <t>almost 4 in 10</t>
  </si>
  <si>
    <t>almost 5 in 10</t>
  </si>
  <si>
    <t>almost 7 in 10</t>
  </si>
  <si>
    <t>almost 8 in 10</t>
  </si>
  <si>
    <t>almost 9 in 10</t>
  </si>
  <si>
    <t>almost all</t>
  </si>
  <si>
    <t>around 1 in 10</t>
  </si>
  <si>
    <t>around 2 in 10</t>
  </si>
  <si>
    <t>around 3 in 10</t>
  </si>
  <si>
    <t>around 4 in 10</t>
  </si>
  <si>
    <t>around 5 in 10</t>
  </si>
  <si>
    <t>around 6 in 10</t>
  </si>
  <si>
    <t>around 7 in 10</t>
  </si>
  <si>
    <t>around 8 in 10</t>
  </si>
  <si>
    <t>around 9 in 10</t>
  </si>
  <si>
    <t>around all</t>
  </si>
  <si>
    <t>more than 1 in 10</t>
  </si>
  <si>
    <t>more than 2 in 10</t>
  </si>
  <si>
    <t>more than 3 in 10</t>
  </si>
  <si>
    <t>more than 4 in 10</t>
  </si>
  <si>
    <t>more than 5 in 10</t>
  </si>
  <si>
    <t>more than 6 in 10</t>
  </si>
  <si>
    <t>more than 7 in 10</t>
  </si>
  <si>
    <t>more than 8 in 10</t>
  </si>
  <si>
    <t>more than 9 in 10</t>
  </si>
  <si>
    <t>all</t>
  </si>
  <si>
    <t>Enjoying the sun safely</t>
  </si>
  <si>
    <t>Overexposure to ultraviolet (UV) radiation</t>
  </si>
  <si>
    <t>Protecting against certain infections</t>
  </si>
  <si>
    <t>Exposure to ionising radiation (such as radon gas and X-rays)</t>
  </si>
  <si>
    <t>Avoiding unnecessary ionising radiation (including radon gas and X-rays)</t>
  </si>
  <si>
    <t>Exposure to outdoor air pollution</t>
  </si>
  <si>
    <t>Avoiding outdoor air pollution</t>
  </si>
  <si>
    <t>Too little physical activity</t>
  </si>
  <si>
    <t>Being more active</t>
  </si>
  <si>
    <t>All risk factors combined</t>
  </si>
  <si>
    <t>Avoiding all risk factors combined</t>
  </si>
  <si>
    <t>For 'all risk factors combined' there is only a prevention statement</t>
  </si>
  <si>
    <t>no statement</t>
  </si>
  <si>
    <t>Smoking</t>
  </si>
  <si>
    <t>Not smoking</t>
  </si>
  <si>
    <t>Eating processed meat</t>
  </si>
  <si>
    <t>Drinking alcohol</t>
  </si>
  <si>
    <t>3 in 20</t>
  </si>
  <si>
    <t>more than 1 in 20</t>
  </si>
  <si>
    <t>1 in 20</t>
  </si>
  <si>
    <t>almost 1 in 10</t>
  </si>
  <si>
    <t>almost 3 in 20</t>
  </si>
  <si>
    <t>around 3 in 20</t>
  </si>
  <si>
    <t>more than 3 in 20</t>
  </si>
  <si>
    <t>Unhealthy living*</t>
  </si>
  <si>
    <t>Footnotes</t>
  </si>
  <si>
    <t>Unhealthy weight and diet**</t>
  </si>
  <si>
    <t>Insufficient physical activity</t>
  </si>
  <si>
    <t>Healthier living***</t>
  </si>
  <si>
    <t>Keeping a healthy weight and diet****</t>
  </si>
  <si>
    <t>* For 'unhealthy living' statements please add: This includes smoking, being overweight or obese, being overexposed to UV radiation, drinking alcohol, eating too little fibre, eating processed meat, and doing too little physical activity</t>
  </si>
  <si>
    <t>** For 'unhealthy weight and diet' statements please add: This includes being overweight or obese, drinking alcohol, eating too little fibre, eating processed meat, and doing too little physical activity</t>
  </si>
  <si>
    <t>*** For 'healthier living' statements please add: This includes not smoking, keeping a healthy weight, enjoying the sun safely, drinking less alcohol, eating a high-fibre diet, cutting down on processed meat, and being more active</t>
  </si>
  <si>
    <t>*** For 'keeping a healthy weight and diet' statements please add: This includes keeping a healthy weight, drinking less alcohol, eating a high-fibre diet, cutting down on processed meat, and being more active</t>
  </si>
  <si>
    <t>Unhealthy living: smoking+obesity+sun+alcohol+fibre+processed meat+physical activity</t>
  </si>
  <si>
    <t>Unhealthy weight and diet: obesity+alcohol+fibre+processed meat+physical activity</t>
  </si>
  <si>
    <r>
      <t xml:space="preserve">Reference: Brown </t>
    </r>
    <r>
      <rPr>
        <i/>
        <sz val="11"/>
        <color rgb="FF002060"/>
        <rFont val="Calibri"/>
        <family val="2"/>
        <scheme val="minor"/>
      </rPr>
      <t xml:space="preserve">et al </t>
    </r>
    <r>
      <rPr>
        <sz val="11"/>
        <color rgb="FF002060"/>
        <rFont val="Calibri"/>
        <family val="2"/>
        <scheme val="minor"/>
      </rPr>
      <t>2018, DOI: 10.1038/s41416-018-0029-6, https://www.nature.com/articles/s41416-018-0029-6</t>
    </r>
  </si>
  <si>
    <t>almost 6 in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</si>
</sst>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807E9E"/>
      <name val="Calibri"/>
      <family val="2"/>
      <scheme val="minor"/>
    </font>
    <font>
      <i/>
      <sz val="11"/>
      <color rgb="FF807E9E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rgb="FF0563C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auto="1"/>
      </left>
      <right style="thin">
        <color rgb="FFFF0066"/>
      </right>
      <top/>
      <bottom/>
      <diagonal/>
    </border>
    <border>
      <left style="thin">
        <color auto="1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 style="thin">
        <color rgb="FFFF0066"/>
      </top>
      <bottom/>
      <diagonal/>
    </border>
    <border>
      <left/>
      <right style="thin">
        <color rgb="FFFF0066"/>
      </right>
      <top/>
      <bottom/>
      <diagonal/>
    </border>
    <border>
      <left/>
      <right style="thin">
        <color rgb="FFFF0066"/>
      </right>
      <top/>
      <bottom style="thin">
        <color rgb="FFFF0066"/>
      </bottom>
      <diagonal/>
    </border>
    <border>
      <left style="thin">
        <color auto="1"/>
      </left>
      <right style="thin">
        <color rgb="FFFF0066"/>
      </right>
      <top style="thin">
        <color rgb="FFFF0066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wrapText="1"/>
    </xf>
    <xf numFmtId="165" fontId="0" fillId="0" borderId="1" xfId="2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5" fontId="8" fillId="0" borderId="1" xfId="2" applyNumberFormat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center"/>
    </xf>
    <xf numFmtId="165" fontId="9" fillId="0" borderId="1" xfId="2" applyNumberFormat="1" applyFont="1" applyFill="1" applyBorder="1" applyAlignment="1">
      <alignment horizontal="right"/>
    </xf>
    <xf numFmtId="164" fontId="9" fillId="0" borderId="1" xfId="1" applyNumberFormat="1" applyFont="1" applyFill="1" applyBorder="1"/>
    <xf numFmtId="165" fontId="3" fillId="0" borderId="1" xfId="2" applyNumberFormat="1" applyFont="1" applyFill="1" applyBorder="1"/>
    <xf numFmtId="164" fontId="3" fillId="0" borderId="1" xfId="1" applyNumberFormat="1" applyFont="1" applyFill="1" applyBorder="1"/>
    <xf numFmtId="0" fontId="0" fillId="0" borderId="0" xfId="0" applyAlignment="1">
      <alignment wrapText="1"/>
    </xf>
    <xf numFmtId="0" fontId="10" fillId="0" borderId="1" xfId="0" applyFont="1" applyFill="1" applyBorder="1" applyAlignment="1">
      <alignment wrapText="1"/>
    </xf>
    <xf numFmtId="164" fontId="9" fillId="0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Fill="1"/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0" xfId="0" applyFill="1" applyBorder="1"/>
    <xf numFmtId="0" fontId="11" fillId="0" borderId="0" xfId="0" applyFont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Alignment="1" applyProtection="1">
      <protection hidden="1"/>
    </xf>
    <xf numFmtId="0" fontId="0" fillId="0" borderId="1" xfId="0" applyBorder="1" applyAlignment="1" applyProtection="1">
      <protection hidden="1"/>
    </xf>
    <xf numFmtId="0" fontId="3" fillId="0" borderId="1" xfId="0" applyFont="1" applyBorder="1" applyAlignment="1" applyProtection="1">
      <protection hidden="1"/>
    </xf>
    <xf numFmtId="1" fontId="0" fillId="0" borderId="1" xfId="0" applyNumberFormat="1" applyBorder="1" applyAlignment="1" applyProtection="1">
      <protection hidden="1"/>
    </xf>
    <xf numFmtId="0" fontId="16" fillId="0" borderId="0" xfId="0" applyFont="1" applyAlignment="1"/>
    <xf numFmtId="0" fontId="17" fillId="0" borderId="0" xfId="0" applyFont="1" applyAlignment="1"/>
    <xf numFmtId="0" fontId="0" fillId="0" borderId="1" xfId="0" applyBorder="1"/>
    <xf numFmtId="2" fontId="0" fillId="0" borderId="1" xfId="0" applyNumberFormat="1" applyBorder="1" applyAlignment="1" applyProtection="1">
      <protection hidden="1"/>
    </xf>
    <xf numFmtId="0" fontId="0" fillId="0" borderId="1" xfId="0" applyBorder="1" applyAlignment="1"/>
    <xf numFmtId="0" fontId="3" fillId="0" borderId="1" xfId="0" applyFont="1" applyBorder="1" applyAlignment="1"/>
    <xf numFmtId="0" fontId="3" fillId="0" borderId="0" xfId="0" applyFont="1" applyFill="1"/>
    <xf numFmtId="43" fontId="0" fillId="0" borderId="3" xfId="0" applyNumberFormat="1" applyFill="1" applyBorder="1" applyAlignment="1">
      <alignment horizontal="center"/>
    </xf>
    <xf numFmtId="0" fontId="0" fillId="0" borderId="1" xfId="0" applyFont="1" applyFill="1" applyBorder="1" applyAlignment="1"/>
    <xf numFmtId="165" fontId="0" fillId="0" borderId="1" xfId="2" applyNumberFormat="1" applyFont="1" applyBorder="1"/>
    <xf numFmtId="164" fontId="0" fillId="0" borderId="1" xfId="0" applyNumberFormat="1" applyBorder="1"/>
    <xf numFmtId="0" fontId="0" fillId="0" borderId="2" xfId="0" applyBorder="1" applyAlignment="1" applyProtection="1">
      <protection hidden="1"/>
    </xf>
    <xf numFmtId="0" fontId="18" fillId="0" borderId="12" xfId="0" applyFont="1" applyBorder="1" applyAlignment="1"/>
    <xf numFmtId="0" fontId="17" fillId="0" borderId="9" xfId="0" applyFont="1" applyBorder="1" applyAlignment="1" applyProtection="1">
      <protection locked="0"/>
    </xf>
    <xf numFmtId="0" fontId="18" fillId="0" borderId="8" xfId="0" applyFont="1" applyBorder="1" applyAlignment="1"/>
    <xf numFmtId="0" fontId="17" fillId="0" borderId="5" xfId="0" applyFont="1" applyBorder="1" applyAlignment="1" applyProtection="1">
      <protection locked="0"/>
    </xf>
    <xf numFmtId="0" fontId="18" fillId="0" borderId="6" xfId="0" applyFont="1" applyBorder="1" applyAlignment="1"/>
    <xf numFmtId="0" fontId="17" fillId="0" borderId="10" xfId="0" applyFont="1" applyBorder="1" applyAlignment="1" applyProtection="1">
      <protection locked="0"/>
    </xf>
    <xf numFmtId="0" fontId="19" fillId="0" borderId="0" xfId="0" applyFont="1" applyAlignment="1"/>
    <xf numFmtId="0" fontId="18" fillId="0" borderId="7" xfId="0" applyFont="1" applyBorder="1" applyAlignment="1"/>
    <xf numFmtId="0" fontId="17" fillId="0" borderId="11" xfId="0" applyFont="1" applyBorder="1" applyAlignment="1" applyProtection="1">
      <protection locked="0"/>
    </xf>
    <xf numFmtId="0" fontId="18" fillId="0" borderId="0" xfId="0" applyFont="1" applyAlignment="1"/>
    <xf numFmtId="0" fontId="21" fillId="0" borderId="0" xfId="0" applyFont="1" applyAlignment="1"/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3" fontId="7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showGridLines="0" tabSelected="1" zoomScaleNormal="100" workbookViewId="0">
      <selection activeCell="AF2" sqref="AF2"/>
    </sheetView>
  </sheetViews>
  <sheetFormatPr defaultColWidth="9.1796875" defaultRowHeight="14.5" x14ac:dyDescent="0.35"/>
  <cols>
    <col min="1" max="1" width="22.54296875" style="33" bestFit="1" customWidth="1"/>
    <col min="2" max="2" width="51.54296875" style="33" customWidth="1"/>
    <col min="3" max="3" width="11.26953125" style="33" customWidth="1"/>
    <col min="4" max="6" width="9.1796875" style="33" hidden="1" customWidth="1"/>
    <col min="7" max="7" width="24.1796875" style="34" hidden="1" customWidth="1"/>
    <col min="8" max="8" width="19.1796875" style="34" hidden="1" customWidth="1"/>
    <col min="9" max="9" width="13.26953125" style="34" hidden="1" customWidth="1"/>
    <col min="10" max="10" width="9.1796875" style="34" hidden="1" customWidth="1"/>
    <col min="11" max="11" width="16" style="34" hidden="1" customWidth="1"/>
    <col min="12" max="12" width="8.453125" style="34" hidden="1" customWidth="1"/>
    <col min="13" max="13" width="46.7265625" style="34" hidden="1" customWidth="1"/>
    <col min="14" max="14" width="27.1796875" style="34" hidden="1" customWidth="1"/>
    <col min="15" max="15" width="22.54296875" style="34" hidden="1" customWidth="1"/>
    <col min="16" max="16" width="9.1796875" style="34" hidden="1" customWidth="1"/>
    <col min="17" max="17" width="16" style="34" hidden="1" customWidth="1"/>
    <col min="18" max="18" width="9.1796875" style="34" hidden="1" customWidth="1"/>
    <col min="19" max="19" width="44.453125" style="34" hidden="1" customWidth="1"/>
    <col min="20" max="20" width="36" style="34" hidden="1" customWidth="1"/>
    <col min="21" max="21" width="33.26953125" style="34" hidden="1" customWidth="1"/>
    <col min="22" max="22" width="9.1796875" style="34" hidden="1" customWidth="1"/>
    <col min="23" max="23" width="24.1796875" style="34" hidden="1" customWidth="1"/>
    <col min="24" max="24" width="103" style="34" hidden="1" customWidth="1"/>
    <col min="25" max="25" width="9.1796875" style="33" customWidth="1"/>
    <col min="26" max="16384" width="9.1796875" style="33"/>
  </cols>
  <sheetData>
    <row r="1" spans="1:32" ht="23.5" x14ac:dyDescent="0.55000000000000004">
      <c r="A1" s="38" t="s">
        <v>155</v>
      </c>
      <c r="G1" s="61" t="s">
        <v>131</v>
      </c>
      <c r="H1" s="62"/>
      <c r="I1" s="63"/>
      <c r="K1" s="61" t="s">
        <v>86</v>
      </c>
      <c r="L1" s="62"/>
      <c r="M1" s="62"/>
      <c r="N1" s="62"/>
      <c r="O1" s="63"/>
      <c r="Q1" s="61" t="s">
        <v>90</v>
      </c>
      <c r="R1" s="62"/>
      <c r="S1" s="62"/>
      <c r="T1" s="62"/>
      <c r="U1" s="63"/>
      <c r="W1" s="64" t="s">
        <v>134</v>
      </c>
      <c r="X1" s="64"/>
      <c r="AF1" s="33">
        <v>2019</v>
      </c>
    </row>
    <row r="2" spans="1:32" x14ac:dyDescent="0.35">
      <c r="A2" s="39" t="s">
        <v>154</v>
      </c>
      <c r="G2" s="35"/>
      <c r="H2" s="36" t="s">
        <v>132</v>
      </c>
      <c r="I2" s="36" t="s">
        <v>133</v>
      </c>
      <c r="K2" s="36" t="s">
        <v>70</v>
      </c>
      <c r="L2" s="36" t="s">
        <v>71</v>
      </c>
      <c r="M2" s="36" t="s">
        <v>72</v>
      </c>
      <c r="N2" s="36" t="s">
        <v>73</v>
      </c>
      <c r="O2" s="36" t="s">
        <v>87</v>
      </c>
      <c r="Q2" s="36" t="s">
        <v>70</v>
      </c>
      <c r="R2" s="36" t="s">
        <v>71</v>
      </c>
      <c r="S2" s="36" t="s">
        <v>72</v>
      </c>
      <c r="T2" s="36" t="s">
        <v>123</v>
      </c>
      <c r="U2" s="36" t="s">
        <v>124</v>
      </c>
      <c r="W2" s="35"/>
      <c r="X2" s="35"/>
    </row>
    <row r="3" spans="1:32" x14ac:dyDescent="0.35">
      <c r="G3" s="35" t="s">
        <v>135</v>
      </c>
      <c r="H3" s="37">
        <f>INDEX(UK!A1:BK18,MATCH(Cases!B7,UK!A1:A18,0),MATCH(Cases!B6,UK!A1:BK1,0))</f>
        <v>70425.364125618333</v>
      </c>
      <c r="I3" s="37" t="str">
        <f>IF(ISBLANK(H3),"",IF(H3=0,"no statement",IF(H3&lt;4.9,"less than 5",IF(H3&lt;100,CONCATENATE("around ",MROUND(H3,5)),IF(H3&lt;1000,CONCATENATE("around ",MROUND(H3,10)),IF(H3&lt;100000,CONCATENATE("around ",TEXT(MROUND(H3,100),"#,##0")),IF(H3&lt;1000000,IF(H3-ROUNDDOWN(H3,-3)&lt;=199,CONCATENATE("around ",TEXT(MROUND(H3,1000),"#,##0")),IF(H3-ROUNDDOWN(H3,-3)&lt;=699,CONCATENATE("more than ",TEXT(MROUND(ROUNDDOWN(H3,-3),1000),"#,##0")),IF(H3-ROUNDDOWN(H3,-3)&lt;=799,CONCATENATE("nearly ",TEXT(MROUND(H3,1000),"#,##0")),CONCATENATE("around ",TEXT(MROUND(H3,1000),"#,##0"))))),CONCATENATE("around ",TEXT(MROUND(H3,10000),"#,##0")))))))))</f>
        <v>around 70,400</v>
      </c>
      <c r="K3" s="35" t="s">
        <v>74</v>
      </c>
      <c r="L3" s="35" t="s">
        <v>94</v>
      </c>
      <c r="M3" s="35" t="s">
        <v>53</v>
      </c>
      <c r="N3" s="34" t="s">
        <v>204</v>
      </c>
      <c r="O3" s="35" t="s">
        <v>88</v>
      </c>
      <c r="Q3" s="35" t="s">
        <v>74</v>
      </c>
      <c r="R3" s="35" t="s">
        <v>95</v>
      </c>
      <c r="S3" s="35" t="s">
        <v>69</v>
      </c>
      <c r="T3" s="35" t="s">
        <v>204</v>
      </c>
      <c r="U3" s="35" t="s">
        <v>205</v>
      </c>
      <c r="W3" s="35" t="s">
        <v>135</v>
      </c>
      <c r="X3" s="35" t="str">
        <f>IF(B$7&lt;&gt;"All risk factors combined",(CONCATENATE(((IF($B$8="causes",(VLOOKUP($B$7,$N$2:$U$17,7,FALSE)),(VLOOKUP($B$7,$N$2:$U$17,8,FALSE)))))," ",$B$8," ",$I3," cases of ",(VLOOKUP($B$6,$M$2:$S$33,7,FALSE))," every year in males in the UK")),(CONCATENATE((REPLACE(I3,1,1,UPPER(LEFT(I3,1))))," cases of ",(VLOOKUP($B$6,$M$2:$S$33,7,FALSE))," could be prevented every year in males in the UK")))</f>
        <v>Around 70,400 cases of cancer could be prevented every year in males in the UK</v>
      </c>
    </row>
    <row r="4" spans="1:32" x14ac:dyDescent="0.35">
      <c r="A4" s="50" t="s">
        <v>80</v>
      </c>
      <c r="B4" s="51" t="s">
        <v>26</v>
      </c>
      <c r="C4" s="39"/>
      <c r="G4" s="35" t="s">
        <v>140</v>
      </c>
      <c r="H4" s="37">
        <f>INDEX(UK!A19:BK39,MATCH(Cases!B7,UK!A19:A39,0),MATCH(Cases!B6,UK!A19:BK19,0))</f>
        <v>65130.410597285772</v>
      </c>
      <c r="I4" s="37" t="str">
        <f t="shared" ref="I4:I17" si="0">IF(ISBLANK(H4),"",IF(H4=0,"no statement",IF(H4&lt;4.9,"less than 5",IF(H4&lt;100,CONCATENATE("around ",MROUND(H4,5)),IF(H4&lt;1000,CONCATENATE("around ",MROUND(H4,10)),IF(H4&lt;100000,CONCATENATE("around ",TEXT(MROUND(H4,100),"#,##0")),IF(H4&lt;1000000,IF(H4-ROUNDDOWN(H4,-3)&lt;=199,CONCATENATE("around ",TEXT(MROUND(H4,1000),"#,##0")),IF(H4-ROUNDDOWN(H4,-3)&lt;=699,CONCATENATE("more than ",TEXT(MROUND(ROUNDDOWN(H4,-3),1000),"#,##0")),IF(H4-ROUNDDOWN(H4,-3)&lt;=799,CONCATENATE("nearly ",TEXT(MROUND(H4,1000),"#,##0")),CONCATENATE("around ",TEXT(MROUND(H4,1000),"#,##0"))))),CONCATENATE("around ",TEXT(MROUND(H4,10000),"#,##0")))))))))</f>
        <v>around 65,100</v>
      </c>
      <c r="K4" s="35" t="s">
        <v>75</v>
      </c>
      <c r="L4" s="35" t="s">
        <v>78</v>
      </c>
      <c r="M4" s="35" t="s">
        <v>27</v>
      </c>
      <c r="N4" s="35" t="s">
        <v>9</v>
      </c>
      <c r="O4" s="35" t="s">
        <v>89</v>
      </c>
      <c r="Q4" s="35" t="s">
        <v>75</v>
      </c>
      <c r="R4" s="35" t="s">
        <v>92</v>
      </c>
      <c r="S4" s="35" t="s">
        <v>100</v>
      </c>
      <c r="T4" s="35" t="s">
        <v>208</v>
      </c>
      <c r="U4" s="35" t="s">
        <v>209</v>
      </c>
      <c r="W4" s="35" t="s">
        <v>140</v>
      </c>
      <c r="X4" s="35" t="str">
        <f>IF(B$7&lt;&gt;"All risk factors combined",(CONCATENATE(((IF($B$8="causes",(VLOOKUP($B$7,$N$2:$U$17,7,FALSE)),(VLOOKUP($B$7,$N$2:$U$17,8,FALSE)))))," ",$B$8," ",$I4," cases of ",(VLOOKUP($B$6,$M$2:$S$33,7,FALSE))," every year in females in the UK")),(CONCATENATE((REPLACE(I4,1,1,UPPER(LEFT(I4,1))))," cases of ",(VLOOKUP($B$6,$M$2:$S$33,7,FALSE))," could be prevented every year in females in the UK")))</f>
        <v>Around 65,100 cases of cancer could be prevented every year in females in the UK</v>
      </c>
    </row>
    <row r="5" spans="1:32" x14ac:dyDescent="0.35">
      <c r="A5" s="52" t="s">
        <v>81</v>
      </c>
      <c r="B5" s="53" t="s">
        <v>79</v>
      </c>
      <c r="C5" s="39"/>
      <c r="G5" s="35" t="s">
        <v>145</v>
      </c>
      <c r="H5" s="37">
        <f>INDEX(UK!A40:BK60,MATCH(Cases!B7,UK!A40:A60,0),MATCH(Cases!B6,UK!A40:BK40,0))</f>
        <v>135506.81346993413</v>
      </c>
      <c r="I5" s="37" t="str">
        <f t="shared" si="0"/>
        <v>more than 135,000</v>
      </c>
      <c r="K5" s="35" t="s">
        <v>76</v>
      </c>
      <c r="L5" s="35" t="s">
        <v>79</v>
      </c>
      <c r="M5" s="35" t="s">
        <v>39</v>
      </c>
      <c r="N5" s="35" t="s">
        <v>11</v>
      </c>
      <c r="O5" s="35"/>
      <c r="Q5" s="35" t="s">
        <v>76</v>
      </c>
      <c r="R5" s="35" t="s">
        <v>93</v>
      </c>
      <c r="S5" s="35" t="s">
        <v>115</v>
      </c>
      <c r="T5" s="35" t="s">
        <v>11</v>
      </c>
      <c r="U5" s="35" t="s">
        <v>127</v>
      </c>
      <c r="W5" s="35" t="s">
        <v>145</v>
      </c>
      <c r="X5" s="35" t="str">
        <f>IF(B$7&lt;&gt;"All risk factors combined",(CONCATENATE(((IF($B$8="causes",(VLOOKUP($B$7,$N$2:$U$17,7,FALSE)),(VLOOKUP($B$7,$N$2:$U$17,8,FALSE)))))," ",$B$8," ",$I5," cases of ",(VLOOKUP($B$6,$M$2:$S$33,7,FALSE))," every year in the UK")),(CONCATENATE((REPLACE(I5,1,1,UPPER(LEFT(I5,1))))," cases of ",(VLOOKUP($B$6,$M$2:$S$33,7,FALSE))," could be prevented every year in the UK")))</f>
        <v>More than 135,000 cases of cancer could be prevented every year in the UK</v>
      </c>
      <c r="Y5"/>
      <c r="Z5"/>
      <c r="AA5"/>
      <c r="AB5"/>
      <c r="AC5"/>
    </row>
    <row r="6" spans="1:32" x14ac:dyDescent="0.35">
      <c r="A6" s="54" t="s">
        <v>82</v>
      </c>
      <c r="B6" s="55" t="s">
        <v>53</v>
      </c>
      <c r="C6" s="39"/>
      <c r="G6" s="35" t="s">
        <v>136</v>
      </c>
      <c r="H6" s="37">
        <f>INDEX(England!A1:BK18,MATCH(Cases!B7,England!A1:A18,0),MATCH(Cases!B6,England!A1:BK1,0))</f>
        <v>58141.059952834599</v>
      </c>
      <c r="I6" s="37" t="str">
        <f t="shared" si="0"/>
        <v>around 58,100</v>
      </c>
      <c r="K6" s="35" t="s">
        <v>77</v>
      </c>
      <c r="L6" s="35"/>
      <c r="M6" s="35" t="s">
        <v>22</v>
      </c>
      <c r="N6" s="35" t="s">
        <v>14</v>
      </c>
      <c r="O6" s="35"/>
      <c r="Q6" s="35" t="s">
        <v>77</v>
      </c>
      <c r="R6" s="35"/>
      <c r="S6" s="35" t="s">
        <v>99</v>
      </c>
      <c r="T6" s="35" t="s">
        <v>196</v>
      </c>
      <c r="U6" s="35" t="s">
        <v>195</v>
      </c>
      <c r="W6" s="35" t="s">
        <v>136</v>
      </c>
      <c r="X6" s="35" t="str">
        <f>IF(B$7&lt;&gt;"All risk factors combined",(CONCATENATE(((IF($B$8="causes",(VLOOKUP($B$7,$N$2:$U$17,7,FALSE)),(VLOOKUP($B$7,$N$2:$U$17,8,FALSE)))))," ",$B$8," ",$I6," cases of ",(VLOOKUP($B$6,$M$2:$S$33,7,FALSE))," every year in males in England")),(CONCATENATE((REPLACE(I6,1,1,UPPER(LEFT(I6,1))))," cases of ",(VLOOKUP($B$6,$M$2:$S$33,7,FALSE))," could be prevented every year in males in England")))</f>
        <v>Around 58,100 cases of cancer could be prevented every year in males in England</v>
      </c>
      <c r="Y6"/>
      <c r="Z6"/>
      <c r="AA6"/>
      <c r="AB6"/>
      <c r="AC6"/>
    </row>
    <row r="7" spans="1:32" x14ac:dyDescent="0.35">
      <c r="A7" s="52" t="s">
        <v>83</v>
      </c>
      <c r="B7" s="53" t="s">
        <v>204</v>
      </c>
      <c r="C7" s="56"/>
      <c r="G7" s="35" t="s">
        <v>141</v>
      </c>
      <c r="H7" s="37">
        <f>INDEX(England!A19:BK39,MATCH(Cases!B7,England!A19:A39,0),MATCH(Cases!B6,England!A19:BK19,0))</f>
        <v>53479.552486248482</v>
      </c>
      <c r="I7" s="37" t="str">
        <f t="shared" si="0"/>
        <v>around 53,500</v>
      </c>
      <c r="K7" s="35" t="s">
        <v>26</v>
      </c>
      <c r="L7" s="35"/>
      <c r="M7" s="35" t="s">
        <v>52</v>
      </c>
      <c r="N7" s="35" t="s">
        <v>15</v>
      </c>
      <c r="O7" s="35"/>
      <c r="Q7" s="35" t="s">
        <v>91</v>
      </c>
      <c r="R7" s="35"/>
      <c r="S7" s="35" t="s">
        <v>122</v>
      </c>
      <c r="T7" s="35" t="s">
        <v>129</v>
      </c>
      <c r="U7" s="35" t="s">
        <v>128</v>
      </c>
      <c r="W7" s="35" t="s">
        <v>141</v>
      </c>
      <c r="X7" s="35" t="str">
        <f>IF(B$7&lt;&gt;"All risk factors combined",(CONCATENATE(((IF($B$8="causes",(VLOOKUP($B$7,$N$2:$U$17,7,FALSE)),(VLOOKUP($B$7,$N$2:$U$17,8,FALSE)))))," ",$B$8," ",$I7," cases of ",(VLOOKUP($B$6,$M$2:$S$33,7,FALSE))," every year in females in England")),(CONCATENATE((REPLACE(I7,1,1,UPPER(LEFT(I7,1))))," cases of ",(VLOOKUP($B$6,$M$2:$S$33,7,FALSE))," could be prevented every year in females in England")))</f>
        <v>Around 53,500 cases of cancer could be prevented every year in females in England</v>
      </c>
    </row>
    <row r="8" spans="1:32" x14ac:dyDescent="0.35">
      <c r="A8" s="57" t="s">
        <v>87</v>
      </c>
      <c r="B8" s="58" t="s">
        <v>88</v>
      </c>
      <c r="C8" s="56" t="s">
        <v>206</v>
      </c>
      <c r="G8" s="35" t="s">
        <v>146</v>
      </c>
      <c r="H8" s="37">
        <f>INDEX(England!A40:BK60,MATCH(Cases!B7,England!A40:A60,0),MATCH(Cases!B6,England!A40:BK40,0))</f>
        <v>111721.8996358938</v>
      </c>
      <c r="I8" s="37" t="str">
        <f t="shared" si="0"/>
        <v>nearly 112,000</v>
      </c>
      <c r="K8" s="35"/>
      <c r="L8" s="35"/>
      <c r="M8" s="35" t="s">
        <v>32</v>
      </c>
      <c r="N8" s="35" t="s">
        <v>12</v>
      </c>
      <c r="O8" s="35"/>
      <c r="Q8" s="35"/>
      <c r="R8" s="35"/>
      <c r="S8" s="35" t="s">
        <v>109</v>
      </c>
      <c r="T8" s="35" t="s">
        <v>156</v>
      </c>
      <c r="U8" s="35" t="s">
        <v>197</v>
      </c>
      <c r="W8" s="35" t="s">
        <v>146</v>
      </c>
      <c r="X8" s="35" t="str">
        <f>IF(B$7&lt;&gt;"All risk factors combined",(CONCATENATE(((IF($B$8="causes",(VLOOKUP($B$7,$N$2:$U$17,7,FALSE)),(VLOOKUP($B$7,$N$2:$U$17,8,FALSE)))))," ",$B$8," ",$I8," cases of ",(VLOOKUP($B$6,$M$2:$S$33,7,FALSE))," every year in England")),(CONCATENATE((REPLACE(I8,1,1,UPPER(LEFT(I8,1))))," cases of ",(VLOOKUP($B$6,$M$2:$S$33,7,FALSE))," could be prevented every year in England")))</f>
        <v>Nearly 112,000 cases of cancer could be prevented every year in England</v>
      </c>
    </row>
    <row r="9" spans="1:32" x14ac:dyDescent="0.35">
      <c r="A9" s="39"/>
      <c r="B9" s="39"/>
      <c r="C9" s="39"/>
      <c r="G9" s="35" t="s">
        <v>137</v>
      </c>
      <c r="H9" s="37">
        <f>INDEX(Scotland!A1:BK18,MATCH(Cases!B7,Scotland!A1:A18,0),MATCH(Cases!B6,Scotland!A1:BK1,0))</f>
        <v>6567.1407953620374</v>
      </c>
      <c r="I9" s="37" t="str">
        <f t="shared" si="0"/>
        <v>around 6,600</v>
      </c>
      <c r="K9" s="35"/>
      <c r="L9" s="35"/>
      <c r="M9" s="35" t="s">
        <v>35</v>
      </c>
      <c r="N9" s="35" t="s">
        <v>10</v>
      </c>
      <c r="O9" s="35"/>
      <c r="Q9" s="35"/>
      <c r="R9" s="35"/>
      <c r="S9" s="35" t="s">
        <v>112</v>
      </c>
      <c r="T9" s="35" t="s">
        <v>211</v>
      </c>
      <c r="U9" s="35" t="s">
        <v>150</v>
      </c>
      <c r="W9" s="35" t="s">
        <v>137</v>
      </c>
      <c r="X9" s="35" t="str">
        <f>IF(B$7&lt;&gt;"All risk factors combined",(CONCATENATE(((IF($B$8="causes",(VLOOKUP($B$7,$N$2:$U$17,7,FALSE)),(VLOOKUP($B$7,$N$2:$U$17,8,FALSE)))))," ",$B$8," ",$I9," cases of ",(VLOOKUP($B$6,$M$2:$S$33,7,FALSE))," every year in males in Scotland")),(CONCATENATE((REPLACE(I9,1,1,UPPER(LEFT(I9,1))))," cases of ",(VLOOKUP($B$6,$M$2:$S$33,7,FALSE))," could be prevented every year in males in Scotland")))</f>
        <v>Around 6,600 cases of cancer could be prevented every year in males in Scotland</v>
      </c>
    </row>
    <row r="10" spans="1:32" x14ac:dyDescent="0.35">
      <c r="A10" s="59" t="s">
        <v>152</v>
      </c>
      <c r="B10" s="39"/>
      <c r="C10" s="39"/>
      <c r="G10" s="35" t="s">
        <v>142</v>
      </c>
      <c r="H10" s="37">
        <f>INDEX(Scotland!A19:BK39,MATCH(Cases!B7,Scotland!A19:A39,0),MATCH(Cases!B6,Scotland!A19:BK19,0))</f>
        <v>6454.6061738685812</v>
      </c>
      <c r="I10" s="37" t="str">
        <f t="shared" si="0"/>
        <v>around 6,500</v>
      </c>
      <c r="K10" s="35"/>
      <c r="L10" s="35"/>
      <c r="M10" s="35" t="s">
        <v>48</v>
      </c>
      <c r="N10" s="35" t="s">
        <v>56</v>
      </c>
      <c r="O10" s="35"/>
      <c r="Q10" s="35"/>
      <c r="R10" s="35"/>
      <c r="S10" s="35" t="s">
        <v>103</v>
      </c>
      <c r="T10" s="35" t="s">
        <v>125</v>
      </c>
      <c r="U10" s="35" t="s">
        <v>151</v>
      </c>
      <c r="W10" s="35" t="s">
        <v>142</v>
      </c>
      <c r="X10" s="35" t="str">
        <f>IF(B$7&lt;&gt;"All risk factors combined",(CONCATENATE(((IF($B$8="causes",(VLOOKUP($B$7,$N$2:$U$17,7,FALSE)),(VLOOKUP($B$7,$N$2:$U$17,8,FALSE)))))," ",$B$8," ",$I10," cases of ",(VLOOKUP($B$6,$M$2:$S$33,7,FALSE))," every year in females in Scotland")),(CONCATENATE((REPLACE(I10,1,1,UPPER(LEFT(I10,1))))," cases of ",(VLOOKUP($B$6,$M$2:$S$33,7,FALSE))," could be prevented every year in females in Scotland")))</f>
        <v>Around 6,500 cases of cancer could be prevented every year in females in Scotland</v>
      </c>
    </row>
    <row r="11" spans="1:32" x14ac:dyDescent="0.35">
      <c r="A11" s="39" t="str">
        <f>IF(ISNUMBER(SEARCH("no statement",VLOOKUP((CONCATENATE(B4, " ", B5)), W3:X17, 2, FALSE))),"&lt;&lt; no statement &gt;&gt;",VLOOKUP((CONCATENATE(B4, " ", B5)), W3:X17, 2, FALSE))</f>
        <v>More than 135,000 cases of cancer could be prevented every year in the UK</v>
      </c>
      <c r="B11" s="39"/>
      <c r="C11" s="39"/>
      <c r="G11" s="35" t="s">
        <v>147</v>
      </c>
      <c r="H11" s="37">
        <f>INDEX(Scotland!A40:BK60,MATCH(Cases!B7,Scotland!A40:A60,0),MATCH(Cases!B6,Scotland!A40:BK40,0))</f>
        <v>13037.500919222563</v>
      </c>
      <c r="I11" s="37" t="str">
        <f t="shared" si="0"/>
        <v>around 13,000</v>
      </c>
      <c r="K11" s="35"/>
      <c r="L11" s="35"/>
      <c r="M11" s="35" t="s">
        <v>3</v>
      </c>
      <c r="N11" s="35" t="s">
        <v>13</v>
      </c>
      <c r="O11" s="35"/>
      <c r="Q11" s="35"/>
      <c r="R11" s="35"/>
      <c r="S11" s="35" t="s">
        <v>119</v>
      </c>
      <c r="T11" s="40" t="s">
        <v>198</v>
      </c>
      <c r="U11" s="40" t="s">
        <v>199</v>
      </c>
      <c r="W11" s="35" t="s">
        <v>147</v>
      </c>
      <c r="X11" s="35" t="str">
        <f>IF(B$7&lt;&gt;"All risk factors combined",(CONCATENATE(((IF($B$8="causes",(VLOOKUP($B$7,$N$2:$U$17,7,FALSE)),(VLOOKUP($B$7,$N$2:$U$17,8,FALSE)))))," ",$B$8," ",$I11," cases of ",(VLOOKUP($B$6,$M$2:$S$33,7,FALSE))," every year in Scotland")),(CONCATENATE((REPLACE(I11,1,1,UPPER(LEFT(I11,1))))," cases of ",(VLOOKUP($B$6,$M$2:$S$33,7,FALSE))," could be prevented every year in Scotland")))</f>
        <v>Around 13,000 cases of cancer could be prevented every year in Scotland</v>
      </c>
    </row>
    <row r="12" spans="1:32" x14ac:dyDescent="0.35">
      <c r="A12" s="39"/>
      <c r="B12" s="39"/>
      <c r="C12" s="39"/>
      <c r="G12" s="35" t="s">
        <v>138</v>
      </c>
      <c r="H12" s="37">
        <f>INDEX(Wales!A1:BK18,MATCH(Cases!B7,Wales!A1:A18,0),MATCH(Cases!B6,Wales!A1:BK1,0))</f>
        <v>3838.2670181225872</v>
      </c>
      <c r="I12" s="37" t="str">
        <f t="shared" si="0"/>
        <v>around 3,800</v>
      </c>
      <c r="K12" s="35"/>
      <c r="L12" s="35"/>
      <c r="M12" s="35" t="s">
        <v>2</v>
      </c>
      <c r="N12" s="35" t="s">
        <v>55</v>
      </c>
      <c r="O12" s="35"/>
      <c r="Q12" s="35"/>
      <c r="R12" s="35"/>
      <c r="S12" s="35" t="s">
        <v>108</v>
      </c>
      <c r="T12" s="35" t="s">
        <v>210</v>
      </c>
      <c r="U12" s="35" t="s">
        <v>126</v>
      </c>
      <c r="W12" s="35" t="s">
        <v>138</v>
      </c>
      <c r="X12" s="35" t="str">
        <f>IF(B$7&lt;&gt;"All risk factors combined",(CONCATENATE(((IF($B$8="causes",(VLOOKUP($B$7,$N$2:$U$17,7,FALSE)),(VLOOKUP($B$7,$N$2:$U$17,8,FALSE)))))," ",$B$8," ",$I12," cases of ",(VLOOKUP($B$6,$M$2:$S$33,7,FALSE))," every year in males in Wales")),(CONCATENATE((REPLACE(I12,1,1,UPPER(LEFT(I12,1))))," cases of ",(VLOOKUP($B$6,$M$2:$S$33,7,FALSE))," could be prevented every year in males in Wales")))</f>
        <v>Around 3,800 cases of cancer could be prevented every year in males in Wales</v>
      </c>
    </row>
    <row r="13" spans="1:32" x14ac:dyDescent="0.35">
      <c r="A13" s="59" t="s">
        <v>220</v>
      </c>
      <c r="B13" s="39"/>
      <c r="C13" s="39"/>
      <c r="G13" s="35" t="s">
        <v>143</v>
      </c>
      <c r="H13" s="37">
        <f>INDEX(Wales!A19:BK39,MATCH(Cases!B7,Wales!A19:A39,0),MATCH(Cases!B6,Wales!A19:BK19,0))</f>
        <v>3372.7009221409303</v>
      </c>
      <c r="I13" s="37" t="str">
        <f t="shared" si="0"/>
        <v>around 3,400</v>
      </c>
      <c r="K13" s="35"/>
      <c r="L13" s="35"/>
      <c r="M13" s="35" t="s">
        <v>40</v>
      </c>
      <c r="N13" s="35" t="s">
        <v>16</v>
      </c>
      <c r="O13" s="35"/>
      <c r="Q13" s="35"/>
      <c r="R13" s="35"/>
      <c r="S13" s="35" t="s">
        <v>116</v>
      </c>
      <c r="T13" s="40" t="s">
        <v>200</v>
      </c>
      <c r="U13" s="40" t="s">
        <v>201</v>
      </c>
      <c r="W13" s="35" t="s">
        <v>143</v>
      </c>
      <c r="X13" s="35" t="str">
        <f>IF(B$7&lt;&gt;"All risk factors combined",(CONCATENATE(((IF($B$8="causes",(VLOOKUP($B$7,$N$2:$U$17,7,FALSE)),(VLOOKUP($B$7,$N$2:$U$17,8,FALSE)))))," ",$B$8," ",$I13," cases of ",(VLOOKUP($B$6,$M$2:$S$33,7,FALSE))," every year in females in Wales")),(CONCATENATE((REPLACE(I13,1,1,UPPER(LEFT(I13,1))))," cases of ",(VLOOKUP($B$6,$M$2:$S$33,7,FALSE))," could be prevented every year in females in Wales")))</f>
        <v>Around 3,400 cases of cancer could be prevented every year in females in Wales</v>
      </c>
    </row>
    <row r="14" spans="1:32" x14ac:dyDescent="0.35">
      <c r="A14" s="39" t="s">
        <v>231</v>
      </c>
      <c r="B14" s="39"/>
      <c r="C14" s="39"/>
      <c r="G14" s="35" t="s">
        <v>148</v>
      </c>
      <c r="H14" s="37">
        <f>INDEX(Wales!A40:BK60,MATCH(Cases!B7,Wales!A40:A60,0),MATCH(Cases!B6,Wales!A40:BK40,0))</f>
        <v>7207.3931778602973</v>
      </c>
      <c r="I14" s="37" t="str">
        <f t="shared" si="0"/>
        <v>around 7,200</v>
      </c>
      <c r="K14" s="35"/>
      <c r="L14" s="35"/>
      <c r="M14" s="35" t="s">
        <v>29</v>
      </c>
      <c r="N14" s="35" t="s">
        <v>222</v>
      </c>
      <c r="O14" s="35"/>
      <c r="Q14" s="35"/>
      <c r="R14" s="35"/>
      <c r="S14" s="35" t="s">
        <v>104</v>
      </c>
      <c r="T14" s="40" t="s">
        <v>202</v>
      </c>
      <c r="U14" s="40" t="s">
        <v>203</v>
      </c>
      <c r="W14" s="35" t="s">
        <v>148</v>
      </c>
      <c r="X14" s="35" t="str">
        <f>IF(B$7&lt;&gt;"All risk factors combined",(CONCATENATE(((IF($B$8="causes",(VLOOKUP($B$7,$N$2:$U$17,7,FALSE)),(VLOOKUP($B$7,$N$2:$U$17,8,FALSE)))))," ",$B$8," ",$I14," cases of ",(VLOOKUP($B$6,$M$2:$S$33,7,FALSE))," every year in Wales")),(CONCATENATE((REPLACE(I14,1,1,UPPER(LEFT(I14,1))))," cases of ",(VLOOKUP($B$6,$M$2:$S$33,7,FALSE))," could be prevented every year in Wales")))</f>
        <v>Around 7,200 cases of cancer could be prevented every year in Wales</v>
      </c>
    </row>
    <row r="15" spans="1:32" x14ac:dyDescent="0.35">
      <c r="A15" s="39"/>
      <c r="B15" s="39"/>
      <c r="C15" s="39"/>
      <c r="G15" s="35" t="s">
        <v>139</v>
      </c>
      <c r="H15" s="37">
        <f>INDEX('Northern Ireland'!A1:BK18,MATCH(Cases!B7,'Northern Ireland'!A1:A18,0),MATCH(Cases!B6,'Northern Ireland'!A1:BK1,0))</f>
        <v>1855.9541005659812</v>
      </c>
      <c r="I15" s="37" t="str">
        <f t="shared" si="0"/>
        <v>around 1,900</v>
      </c>
      <c r="K15" s="35"/>
      <c r="L15" s="35"/>
      <c r="M15" s="35" t="s">
        <v>51</v>
      </c>
      <c r="N15" s="46" t="s">
        <v>229</v>
      </c>
      <c r="O15" s="35"/>
      <c r="Q15" s="35"/>
      <c r="R15" s="35"/>
      <c r="S15" s="35" t="s">
        <v>121</v>
      </c>
      <c r="T15" s="49" t="s">
        <v>219</v>
      </c>
      <c r="U15" s="35" t="s">
        <v>223</v>
      </c>
      <c r="W15" s="35" t="s">
        <v>139</v>
      </c>
      <c r="X15" s="35" t="str">
        <f>IF(B$7&lt;&gt;"All risk factors combined",(CONCATENATE(((IF($B$8="causes",(VLOOKUP($B$7,$N$2:$U$17,7,FALSE)),(VLOOKUP($B$7,$N$2:$U$17,8,FALSE)))))," ",$B$8," ",$I15," cases of ",(VLOOKUP($B$6,$M$2:$S$33,7,FALSE))," every year in males in Northern Ireland")),(CONCATENATE((REPLACE(I15,1,1,UPPER(LEFT(I15,1))))," cases of ",(VLOOKUP($B$6,$M$2:$S$33,7,FALSE))," could be prevented every year in males in Northern Ireland")))</f>
        <v>Around 1,900 cases of cancer could be prevented every year in males in Northern Ireland</v>
      </c>
    </row>
    <row r="16" spans="1:32" x14ac:dyDescent="0.35">
      <c r="A16" s="39"/>
      <c r="B16" s="39"/>
      <c r="C16" s="39"/>
      <c r="G16" s="35" t="s">
        <v>144</v>
      </c>
      <c r="H16" s="37">
        <f>INDEX('Northern Ireland'!A19:BK39,MATCH(Cases!B7,'Northern Ireland'!A19:A39,0),MATCH(Cases!B6,'Northern Ireland'!A19:BK19,0))</f>
        <v>1663.2346759765969</v>
      </c>
      <c r="I16" s="37" t="str">
        <f t="shared" si="0"/>
        <v>around 1,700</v>
      </c>
      <c r="K16" s="35"/>
      <c r="L16" s="35"/>
      <c r="M16" s="35" t="s">
        <v>28</v>
      </c>
      <c r="N16" s="46" t="s">
        <v>230</v>
      </c>
      <c r="O16" s="35"/>
      <c r="Q16" s="35"/>
      <c r="R16" s="35"/>
      <c r="S16" s="35" t="s">
        <v>101</v>
      </c>
      <c r="T16" s="34" t="s">
        <v>221</v>
      </c>
      <c r="U16" s="35" t="s">
        <v>224</v>
      </c>
      <c r="W16" s="35" t="s">
        <v>144</v>
      </c>
      <c r="X16" s="35" t="str">
        <f>IF(B$7&lt;&gt;"All risk factors combined",(CONCATENATE(((IF($B$8="causes",(VLOOKUP($B$7,$N$2:$U$17,7,FALSE)),(VLOOKUP($B$7,$N$2:$U$17,8,FALSE)))))," ",$B$8," ",$I16," cases of ",(VLOOKUP($B$6,$M$2:$S$33,7,FALSE))," every year in females in Northern Ireland")),(CONCATENATE((REPLACE(I16,1,1,UPPER(LEFT(I16,1))))," cases of ",(VLOOKUP($B$6,$M$2:$S$33,7,FALSE))," could be prevented every year in females in Northern Ireland")))</f>
        <v>Around 1,700 cases of cancer could be prevented every year in females in Northern Ireland</v>
      </c>
    </row>
    <row r="17" spans="1:24" x14ac:dyDescent="0.35">
      <c r="A17" s="60" t="s">
        <v>225</v>
      </c>
      <c r="B17" s="39"/>
      <c r="C17" s="39"/>
      <c r="G17" s="35" t="s">
        <v>149</v>
      </c>
      <c r="H17" s="37">
        <f>INDEX('Northern Ireland'!A40:BK60,MATCH(Cases!B7,'Northern Ireland'!A40:A60,0),MATCH(Cases!B6,'Northern Ireland'!A40:BK40,0))</f>
        <v>3519.3810872285526</v>
      </c>
      <c r="I17" s="37" t="str">
        <f t="shared" si="0"/>
        <v>around 3,500</v>
      </c>
      <c r="K17" s="35"/>
      <c r="L17" s="35"/>
      <c r="M17" s="35" t="s">
        <v>30</v>
      </c>
      <c r="N17" s="35"/>
      <c r="O17" s="35"/>
      <c r="Q17" s="35"/>
      <c r="R17" s="35"/>
      <c r="S17" s="35" t="s">
        <v>105</v>
      </c>
      <c r="T17" s="49"/>
      <c r="U17" s="35"/>
      <c r="W17" s="35" t="s">
        <v>149</v>
      </c>
      <c r="X17" s="35" t="str">
        <f>IF(B$7&lt;&gt;"All risk factors combined",(CONCATENATE(((IF($B$8="causes",(VLOOKUP($B$7,$N$2:$U$17,7,FALSE)),(VLOOKUP($B$7,$N$2:$U$17,8,FALSE)))))," ",$B$8," ",$I17," cases of ",(VLOOKUP($B$6,$M$2:$S$33,7,FALSE))," every year in Northern Ireland")),(CONCATENATE((REPLACE(I17,1,1,UPPER(LEFT(I17,1))))," cases of ",(VLOOKUP($B$6,$M$2:$S$33,7,FALSE))," could be prevented every year in Northern Ireland")))</f>
        <v>Around 3,500 cases of cancer could be prevented every year in Northern Ireland</v>
      </c>
    </row>
    <row r="18" spans="1:24" x14ac:dyDescent="0.35">
      <c r="A18" s="60" t="s">
        <v>226</v>
      </c>
      <c r="B18" s="39"/>
      <c r="C18" s="39"/>
      <c r="K18" s="35"/>
      <c r="L18" s="35"/>
      <c r="M18" s="35" t="s">
        <v>1</v>
      </c>
      <c r="N18" s="35"/>
      <c r="O18" s="35"/>
      <c r="Q18" s="35"/>
      <c r="R18" s="35"/>
      <c r="S18" s="35" t="s">
        <v>107</v>
      </c>
      <c r="T18" s="49"/>
      <c r="U18" s="35"/>
    </row>
    <row r="19" spans="1:24" x14ac:dyDescent="0.35">
      <c r="A19" s="60" t="s">
        <v>227</v>
      </c>
      <c r="B19" s="39"/>
      <c r="C19" s="39"/>
      <c r="K19" s="35"/>
      <c r="L19" s="35"/>
      <c r="M19" s="35" t="s">
        <v>31</v>
      </c>
      <c r="N19" s="35"/>
      <c r="O19" s="35"/>
      <c r="Q19" s="35"/>
      <c r="R19" s="35"/>
      <c r="S19" s="35" t="s">
        <v>106</v>
      </c>
      <c r="T19" s="49"/>
      <c r="U19" s="35"/>
    </row>
    <row r="20" spans="1:24" x14ac:dyDescent="0.35">
      <c r="A20" s="60" t="s">
        <v>228</v>
      </c>
      <c r="B20" s="39"/>
      <c r="C20" s="39"/>
      <c r="K20" s="35"/>
      <c r="L20" s="35"/>
      <c r="M20" s="35" t="s">
        <v>49</v>
      </c>
      <c r="N20" s="35"/>
      <c r="O20" s="35"/>
      <c r="Q20" s="35"/>
      <c r="R20" s="35"/>
      <c r="S20" s="35" t="s">
        <v>118</v>
      </c>
      <c r="T20" s="49"/>
      <c r="U20" s="35"/>
    </row>
    <row r="21" spans="1:24" x14ac:dyDescent="0.35">
      <c r="K21" s="35"/>
      <c r="L21" s="35"/>
      <c r="M21" s="35" t="s">
        <v>46</v>
      </c>
      <c r="N21" s="35"/>
      <c r="O21" s="35"/>
      <c r="Q21" s="35"/>
      <c r="R21" s="35"/>
      <c r="S21" s="35" t="s">
        <v>96</v>
      </c>
      <c r="T21" s="49"/>
      <c r="U21" s="35"/>
    </row>
    <row r="22" spans="1:24" x14ac:dyDescent="0.35">
      <c r="K22" s="35"/>
      <c r="L22" s="35"/>
      <c r="M22" s="35" t="s">
        <v>50</v>
      </c>
      <c r="N22" s="35"/>
      <c r="O22" s="35"/>
      <c r="Q22" s="35"/>
      <c r="R22" s="35"/>
      <c r="S22" s="35" t="s">
        <v>120</v>
      </c>
      <c r="T22" s="49"/>
      <c r="U22" s="35"/>
    </row>
    <row r="23" spans="1:24" x14ac:dyDescent="0.35">
      <c r="K23" s="35"/>
      <c r="L23" s="35"/>
      <c r="M23" s="35" t="s">
        <v>44</v>
      </c>
      <c r="N23" s="35"/>
      <c r="O23" s="35"/>
      <c r="Q23" s="35"/>
      <c r="R23" s="35"/>
      <c r="S23" s="35" t="s">
        <v>85</v>
      </c>
      <c r="T23" s="35"/>
      <c r="U23" s="35"/>
    </row>
    <row r="24" spans="1:24" x14ac:dyDescent="0.35">
      <c r="K24" s="35"/>
      <c r="L24" s="35"/>
      <c r="M24" s="35" t="s">
        <v>42</v>
      </c>
      <c r="O24" s="35"/>
      <c r="Q24" s="35"/>
      <c r="R24" s="35"/>
      <c r="S24" s="35" t="s">
        <v>84</v>
      </c>
      <c r="T24" s="35"/>
      <c r="U24" s="35"/>
    </row>
    <row r="25" spans="1:24" x14ac:dyDescent="0.35">
      <c r="K25" s="35"/>
      <c r="L25" s="35"/>
      <c r="M25" s="35" t="s">
        <v>37</v>
      </c>
      <c r="N25" s="35"/>
      <c r="O25" s="35"/>
      <c r="Q25" s="35"/>
      <c r="R25" s="35"/>
      <c r="S25" s="35" t="s">
        <v>114</v>
      </c>
      <c r="T25" s="35"/>
      <c r="U25" s="35"/>
    </row>
    <row r="26" spans="1:24" x14ac:dyDescent="0.35">
      <c r="K26" s="35"/>
      <c r="L26" s="35"/>
      <c r="M26" s="35" t="s">
        <v>47</v>
      </c>
      <c r="N26" s="35"/>
      <c r="O26" s="35"/>
      <c r="Q26" s="35"/>
      <c r="R26" s="35"/>
      <c r="S26" s="35" t="s">
        <v>102</v>
      </c>
      <c r="T26" s="35"/>
      <c r="U26" s="35"/>
    </row>
    <row r="27" spans="1:24" x14ac:dyDescent="0.35">
      <c r="K27" s="35"/>
      <c r="L27" s="35"/>
      <c r="M27" s="35" t="s">
        <v>38</v>
      </c>
      <c r="N27" s="35"/>
      <c r="O27" s="35"/>
      <c r="Q27" s="35"/>
      <c r="R27" s="35"/>
      <c r="S27" s="35" t="s">
        <v>130</v>
      </c>
      <c r="T27" s="35"/>
      <c r="U27" s="35"/>
    </row>
    <row r="28" spans="1:24" x14ac:dyDescent="0.35">
      <c r="K28" s="35"/>
      <c r="L28" s="35"/>
      <c r="M28" s="35" t="s">
        <v>43</v>
      </c>
      <c r="N28" s="35"/>
      <c r="O28" s="35"/>
      <c r="Q28" s="35"/>
      <c r="R28" s="35"/>
      <c r="S28" s="35" t="s">
        <v>97</v>
      </c>
      <c r="T28" s="35"/>
      <c r="U28" s="35"/>
    </row>
    <row r="29" spans="1:24" x14ac:dyDescent="0.35">
      <c r="K29" s="35"/>
      <c r="L29" s="35"/>
      <c r="M29" s="35" t="s">
        <v>45</v>
      </c>
      <c r="N29" s="35"/>
      <c r="O29" s="35"/>
      <c r="Q29" s="35"/>
      <c r="R29" s="35"/>
      <c r="S29" s="35" t="s">
        <v>98</v>
      </c>
      <c r="T29" s="35"/>
      <c r="U29" s="35"/>
    </row>
    <row r="30" spans="1:24" x14ac:dyDescent="0.35">
      <c r="K30" s="35"/>
      <c r="L30" s="35"/>
      <c r="M30" s="35" t="s">
        <v>41</v>
      </c>
      <c r="N30" s="35"/>
      <c r="O30" s="35"/>
      <c r="Q30" s="35"/>
      <c r="R30" s="35"/>
      <c r="S30" s="35" t="s">
        <v>117</v>
      </c>
      <c r="T30" s="35"/>
      <c r="U30" s="35"/>
    </row>
    <row r="31" spans="1:24" x14ac:dyDescent="0.35">
      <c r="K31" s="35"/>
      <c r="L31" s="35"/>
      <c r="M31" s="35" t="s">
        <v>36</v>
      </c>
      <c r="N31" s="35"/>
      <c r="O31" s="35"/>
      <c r="Q31" s="35"/>
      <c r="R31" s="35"/>
      <c r="S31" s="35" t="s">
        <v>113</v>
      </c>
      <c r="T31" s="35"/>
      <c r="U31" s="35"/>
    </row>
    <row r="32" spans="1:24" x14ac:dyDescent="0.35">
      <c r="K32" s="35"/>
      <c r="L32" s="35"/>
      <c r="M32" s="35" t="s">
        <v>34</v>
      </c>
      <c r="N32" s="35"/>
      <c r="O32" s="35"/>
      <c r="Q32" s="35"/>
      <c r="R32" s="35"/>
      <c r="S32" s="35" t="s">
        <v>111</v>
      </c>
      <c r="T32" s="35"/>
      <c r="U32" s="35"/>
    </row>
    <row r="33" spans="11:21" x14ac:dyDescent="0.35">
      <c r="K33" s="35"/>
      <c r="L33" s="35"/>
      <c r="M33" s="35" t="s">
        <v>33</v>
      </c>
      <c r="N33" s="35"/>
      <c r="O33" s="35"/>
      <c r="Q33" s="35"/>
      <c r="R33" s="35"/>
      <c r="S33" s="35" t="s">
        <v>110</v>
      </c>
      <c r="T33" s="35"/>
      <c r="U33" s="35"/>
    </row>
  </sheetData>
  <sheetProtection sheet="1" objects="1" scenarios="1" formatCells="0" formatRows="0" insertColumns="0" insertRows="0" insertHyperlinks="0" deleteColumns="0" deleteRows="0"/>
  <mergeCells count="4">
    <mergeCell ref="K1:O1"/>
    <mergeCell ref="Q1:U1"/>
    <mergeCell ref="G1:I1"/>
    <mergeCell ref="W1:X1"/>
  </mergeCells>
  <dataValidations count="5">
    <dataValidation type="list" allowBlank="1" showInputMessage="1" showErrorMessage="1" sqref="B4" xr:uid="{00000000-0002-0000-0000-000000000000}">
      <formula1>$K$3:$K$7</formula1>
    </dataValidation>
    <dataValidation type="list" allowBlank="1" showInputMessage="1" showErrorMessage="1" sqref="B5" xr:uid="{00000000-0002-0000-0000-000001000000}">
      <formula1>$L$3:$L$5</formula1>
    </dataValidation>
    <dataValidation type="list" allowBlank="1" showInputMessage="1" showErrorMessage="1" sqref="B8" xr:uid="{00000000-0002-0000-0000-000002000000}">
      <formula1>$O$3:$O$4</formula1>
    </dataValidation>
    <dataValidation type="list" allowBlank="1" showInputMessage="1" showErrorMessage="1" sqref="B6" xr:uid="{00000000-0002-0000-0000-000003000000}">
      <formula1>$M$3:$M$33</formula1>
    </dataValidation>
    <dataValidation type="list" allowBlank="1" showInputMessage="1" showErrorMessage="1" sqref="B7" xr:uid="{00000000-0002-0000-0000-000004000000}">
      <formula1>$N$3:$N$16</formula1>
    </dataValidation>
  </dataValidation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K60"/>
  <sheetViews>
    <sheetView zoomScale="80" zoomScaleNormal="80" workbookViewId="0"/>
  </sheetViews>
  <sheetFormatPr defaultRowHeight="14.5" x14ac:dyDescent="0.35"/>
  <cols>
    <col min="1" max="1" width="26.54296875" customWidth="1"/>
  </cols>
  <sheetData>
    <row r="1" spans="1:63" s="15" customFormat="1" ht="63" customHeight="1" x14ac:dyDescent="0.35">
      <c r="A1" s="1" t="s">
        <v>24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35">
      <c r="A3" s="2" t="s">
        <v>5</v>
      </c>
      <c r="B3" s="65">
        <v>83</v>
      </c>
      <c r="C3" s="65"/>
      <c r="D3" s="65">
        <v>15</v>
      </c>
      <c r="E3" s="65"/>
      <c r="F3" s="65">
        <v>124</v>
      </c>
      <c r="G3" s="65"/>
      <c r="H3" s="65">
        <v>317</v>
      </c>
      <c r="I3" s="65"/>
      <c r="J3" s="65">
        <v>267</v>
      </c>
      <c r="K3" s="65"/>
      <c r="L3" s="65">
        <v>1278</v>
      </c>
      <c r="M3" s="65"/>
      <c r="N3" s="65">
        <v>26</v>
      </c>
      <c r="O3" s="65"/>
      <c r="P3" s="65">
        <v>223</v>
      </c>
      <c r="Q3" s="65"/>
      <c r="R3" s="65">
        <v>238</v>
      </c>
      <c r="S3" s="65"/>
      <c r="T3" s="65">
        <v>13</v>
      </c>
      <c r="U3" s="65"/>
      <c r="V3" s="65">
        <v>126</v>
      </c>
      <c r="W3" s="65"/>
      <c r="X3" s="65">
        <v>1290</v>
      </c>
      <c r="Y3" s="65"/>
      <c r="Z3" s="65">
        <v>113</v>
      </c>
      <c r="AA3" s="65"/>
      <c r="AB3" s="65">
        <v>400</v>
      </c>
      <c r="AC3" s="65"/>
      <c r="AD3" s="65">
        <v>2</v>
      </c>
      <c r="AE3" s="65"/>
      <c r="AF3" s="65"/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28</v>
      </c>
      <c r="AS3" s="65"/>
      <c r="AT3" s="65">
        <v>446</v>
      </c>
      <c r="AU3" s="65"/>
      <c r="AV3" s="65">
        <v>363</v>
      </c>
      <c r="AW3" s="65"/>
      <c r="AX3" s="65">
        <v>37</v>
      </c>
      <c r="AY3" s="65"/>
      <c r="AZ3" s="65">
        <v>149</v>
      </c>
      <c r="BA3" s="65"/>
      <c r="BB3" s="65">
        <v>62</v>
      </c>
      <c r="BC3" s="65"/>
      <c r="BD3" s="65">
        <v>344</v>
      </c>
      <c r="BE3" s="65"/>
      <c r="BF3" s="65">
        <v>393</v>
      </c>
      <c r="BG3" s="65"/>
      <c r="BH3" s="65">
        <v>347</v>
      </c>
      <c r="BI3" s="65"/>
      <c r="BJ3" s="65">
        <v>9837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0.18120879795238229</v>
      </c>
      <c r="C5" s="8">
        <v>15.040330230047729</v>
      </c>
      <c r="D5" s="7">
        <v>0.28987472420362365</v>
      </c>
      <c r="E5" s="8">
        <v>4.3481208630543549</v>
      </c>
      <c r="F5" s="7">
        <v>0.40231151070653531</v>
      </c>
      <c r="G5" s="8">
        <v>49.886627327610377</v>
      </c>
      <c r="H5" s="7">
        <v>0.34913134351192399</v>
      </c>
      <c r="I5" s="8">
        <v>110.6746358932799</v>
      </c>
      <c r="J5" s="7">
        <v>0.22952925245849259</v>
      </c>
      <c r="K5" s="8">
        <v>61.284310406417525</v>
      </c>
      <c r="L5" s="7">
        <v>8.4391682233719678E-2</v>
      </c>
      <c r="M5" s="8">
        <v>107.85256989469374</v>
      </c>
      <c r="N5" s="7"/>
      <c r="O5" s="8"/>
      <c r="P5" s="7">
        <v>0.25968659692718943</v>
      </c>
      <c r="Q5" s="8">
        <v>57.910111114763247</v>
      </c>
      <c r="R5" s="7">
        <v>0.26459869040605044</v>
      </c>
      <c r="S5" s="8">
        <v>62.974488316640006</v>
      </c>
      <c r="T5" s="7"/>
      <c r="U5" s="8"/>
      <c r="V5" s="7">
        <v>0.68039812965719704</v>
      </c>
      <c r="W5" s="8">
        <v>85.730164336806823</v>
      </c>
      <c r="X5" s="7">
        <v>0.76806955066412486</v>
      </c>
      <c r="Y5" s="8">
        <v>990.80972035672107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0.49423968004030716</v>
      </c>
      <c r="AU5" s="8">
        <v>220.430897297977</v>
      </c>
      <c r="AV5" s="7">
        <v>0.15082879300944485</v>
      </c>
      <c r="AW5" s="8">
        <v>54.750851862428476</v>
      </c>
      <c r="AX5" s="7"/>
      <c r="AY5" s="8"/>
      <c r="AZ5" s="7"/>
      <c r="BA5" s="8"/>
      <c r="BB5" s="7"/>
      <c r="BC5" s="8"/>
      <c r="BD5" s="7"/>
      <c r="BE5" s="8"/>
      <c r="BF5" s="7">
        <v>2.6364926623292921E-2</v>
      </c>
      <c r="BG5" s="8">
        <v>10.361416162954118</v>
      </c>
      <c r="BH5" s="7"/>
      <c r="BI5" s="8"/>
      <c r="BJ5" s="7">
        <v>0.18624115523669763</v>
      </c>
      <c r="BK5" s="8">
        <v>1832.0542440633947</v>
      </c>
    </row>
    <row r="6" spans="1:63" x14ac:dyDescent="0.35">
      <c r="A6" s="6" t="s">
        <v>10</v>
      </c>
      <c r="B6" s="7">
        <v>0.42136481950549781</v>
      </c>
      <c r="C6" s="8">
        <v>74.160208232967619</v>
      </c>
      <c r="D6" s="7"/>
      <c r="E6" s="8"/>
      <c r="F6" s="7">
        <v>0.42360158446933294</v>
      </c>
      <c r="G6" s="8">
        <v>52.526596474197284</v>
      </c>
      <c r="H6" s="7">
        <v>0.10419635517187666</v>
      </c>
      <c r="I6" s="8">
        <v>33.030244589484901</v>
      </c>
      <c r="J6" s="7"/>
      <c r="K6" s="8"/>
      <c r="L6" s="7">
        <v>8.4299110289716844E-2</v>
      </c>
      <c r="M6" s="8">
        <v>107.73426295025813</v>
      </c>
      <c r="N6" s="7"/>
      <c r="O6" s="8"/>
      <c r="P6" s="7">
        <v>9.0776063772413526E-2</v>
      </c>
      <c r="Q6" s="8">
        <v>20.243062221248216</v>
      </c>
      <c r="R6" s="7"/>
      <c r="S6" s="8"/>
      <c r="T6" s="7"/>
      <c r="U6" s="8"/>
      <c r="V6" s="7">
        <v>0.24906823249516305</v>
      </c>
      <c r="W6" s="8">
        <v>31.382597294390543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3.2436410670178585E-2</v>
      </c>
      <c r="BK6" s="8">
        <v>319.07697176254675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0.15925050535790169</v>
      </c>
      <c r="M7" s="10">
        <v>203.52214584739835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2.0689452663149165E-2</v>
      </c>
      <c r="BK7" s="10">
        <v>203.52214584739835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0.252195473398312</v>
      </c>
      <c r="M8" s="10">
        <v>322.30581500304277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3.2764645217347031E-2</v>
      </c>
      <c r="BK8" s="10">
        <v>322.30581500304277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0.27594765002667632</v>
      </c>
      <c r="I9" s="10">
        <v>87.475405058456388</v>
      </c>
      <c r="J9" s="9">
        <v>9.6448783782157751E-2</v>
      </c>
      <c r="K9" s="10">
        <v>25.751825269836118</v>
      </c>
      <c r="L9" s="9">
        <v>0.13333646109807026</v>
      </c>
      <c r="M9" s="10">
        <v>170.40399728333381</v>
      </c>
      <c r="N9" s="9"/>
      <c r="O9" s="10"/>
      <c r="P9" s="9">
        <v>0.20328396989149541</v>
      </c>
      <c r="Q9" s="10">
        <v>45.332325285803478</v>
      </c>
      <c r="R9" s="9">
        <v>0.12285411360433485</v>
      </c>
      <c r="S9" s="10">
        <v>29.239279037831693</v>
      </c>
      <c r="T9" s="9">
        <v>9.6413302202729811E-2</v>
      </c>
      <c r="U9" s="10">
        <v>1.2533729286354875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0.18401135048401032</v>
      </c>
      <c r="AW9" s="10">
        <v>66.796120225695745</v>
      </c>
      <c r="AX9" s="9">
        <v>8.0457580458952405E-2</v>
      </c>
      <c r="AY9" s="10">
        <v>2.9769304769812388</v>
      </c>
      <c r="AZ9" s="9">
        <v>0.13771153643726877</v>
      </c>
      <c r="BA9" s="10">
        <v>20.519018929153045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4.5720064500937983E-2</v>
      </c>
      <c r="BK9" s="10">
        <v>449.74827449572695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4.0206856327351881E-2</v>
      </c>
      <c r="M10" s="10">
        <v>51.384362386355704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5.2235806024555969E-3</v>
      </c>
      <c r="BK10" s="10">
        <v>51.384362386355704</v>
      </c>
    </row>
    <row r="11" spans="1:63" x14ac:dyDescent="0.35">
      <c r="A11" s="6" t="s">
        <v>12</v>
      </c>
      <c r="B11" s="7">
        <v>1.2800000000000001E-2</v>
      </c>
      <c r="C11" s="8">
        <v>2.2528000000000001</v>
      </c>
      <c r="D11" s="7">
        <v>0.8</v>
      </c>
      <c r="E11" s="8">
        <v>12</v>
      </c>
      <c r="F11" s="7">
        <v>0.72399999999999998</v>
      </c>
      <c r="G11" s="8">
        <v>89.775999999999996</v>
      </c>
      <c r="H11" s="7"/>
      <c r="I11" s="8"/>
      <c r="J11" s="7">
        <v>0.27507076850406492</v>
      </c>
      <c r="K11" s="8">
        <v>73.443895190585337</v>
      </c>
      <c r="L11" s="7"/>
      <c r="M11" s="8"/>
      <c r="N11" s="7">
        <v>0.88700000000000001</v>
      </c>
      <c r="O11" s="8">
        <v>23.062000000000001</v>
      </c>
      <c r="P11" s="7">
        <v>9.6001339364162219E-2</v>
      </c>
      <c r="Q11" s="8">
        <v>21.408298678208176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2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17.724</v>
      </c>
      <c r="AT11" s="7"/>
      <c r="AU11" s="8"/>
      <c r="AV11" s="7"/>
      <c r="AW11" s="8"/>
      <c r="AX11" s="7"/>
      <c r="AY11" s="8"/>
      <c r="AZ11" s="7"/>
      <c r="BA11" s="8"/>
      <c r="BB11" s="7">
        <v>0.43016129032258066</v>
      </c>
      <c r="BC11" s="8">
        <v>26.67</v>
      </c>
      <c r="BD11" s="7">
        <v>3.4380964595657634E-2</v>
      </c>
      <c r="BE11" s="8">
        <v>10.864384812227811</v>
      </c>
      <c r="BF11" s="7"/>
      <c r="BG11" s="8"/>
      <c r="BH11" s="7"/>
      <c r="BI11" s="8"/>
      <c r="BJ11" s="7">
        <v>2.8382800916288579E-2</v>
      </c>
      <c r="BK11" s="8">
        <v>279.20161261353076</v>
      </c>
    </row>
    <row r="12" spans="1:63" x14ac:dyDescent="0.35">
      <c r="A12" s="6" t="s">
        <v>13</v>
      </c>
      <c r="B12" s="9">
        <v>1.4523821371411616E-3</v>
      </c>
      <c r="C12" s="10">
        <v>0.25561925613684444</v>
      </c>
      <c r="D12" s="9"/>
      <c r="E12" s="10"/>
      <c r="F12" s="9"/>
      <c r="G12" s="10"/>
      <c r="H12" s="9">
        <v>3.4198066708303028E-3</v>
      </c>
      <c r="I12" s="10">
        <v>1.084078714653206</v>
      </c>
      <c r="J12" s="9">
        <v>4.2745100982384231E-3</v>
      </c>
      <c r="K12" s="10">
        <v>1.141294196229659</v>
      </c>
      <c r="L12" s="9">
        <v>1.1808272153132671E-2</v>
      </c>
      <c r="M12" s="10">
        <v>15.090971811703554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6.036826138309119E-2</v>
      </c>
      <c r="Y12" s="10">
        <v>77.875057184187639</v>
      </c>
      <c r="Z12" s="9"/>
      <c r="AA12" s="10"/>
      <c r="AB12" s="9"/>
      <c r="AC12" s="10"/>
      <c r="AD12" s="9"/>
      <c r="AE12" s="10"/>
      <c r="AF12" s="9">
        <v>5.9736100713214668E-4</v>
      </c>
      <c r="AG12" s="10">
        <v>9.5577761141143469E-3</v>
      </c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2.0992702930657674E-2</v>
      </c>
      <c r="AU12" s="10">
        <v>9.3627455070733223</v>
      </c>
      <c r="AV12" s="9"/>
      <c r="AW12" s="10"/>
      <c r="AX12" s="9">
        <v>4.4601628617189047E-3</v>
      </c>
      <c r="AY12" s="10">
        <v>0.16502602588359946</v>
      </c>
      <c r="AZ12" s="9"/>
      <c r="BA12" s="10"/>
      <c r="BB12" s="9"/>
      <c r="BC12" s="10"/>
      <c r="BD12" s="9"/>
      <c r="BE12" s="10"/>
      <c r="BF12" s="9">
        <v>7.7918542178772685E-2</v>
      </c>
      <c r="BG12" s="10">
        <v>30.621987076257668</v>
      </c>
      <c r="BH12" s="9">
        <v>5.0051732746392297E-4</v>
      </c>
      <c r="BI12" s="10">
        <v>0.17367951262998127</v>
      </c>
      <c r="BJ12" s="9">
        <v>1.9925482216257364E-2</v>
      </c>
      <c r="BK12" s="8">
        <v>196.0069685613237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0.90996265224992812</v>
      </c>
      <c r="AC13" s="10">
        <v>363.98506089997124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3.7001632703056953E-2</v>
      </c>
      <c r="BK13" s="10">
        <v>363.98506089997124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0.09</v>
      </c>
      <c r="F14" s="11"/>
      <c r="G14" s="17"/>
      <c r="H14" s="11">
        <v>3.3000000000000002E-2</v>
      </c>
      <c r="I14" s="17">
        <f>H14*H3</f>
        <v>10.461</v>
      </c>
      <c r="J14" s="11">
        <v>0.03</v>
      </c>
      <c r="K14" s="17">
        <f>J14*J3</f>
        <v>8.01</v>
      </c>
      <c r="L14" s="11"/>
      <c r="M14" s="12"/>
      <c r="N14" s="11"/>
      <c r="O14" s="12"/>
      <c r="P14" s="11">
        <v>3.0000000000000001E-3</v>
      </c>
      <c r="Q14" s="17">
        <f>P14*P3</f>
        <v>0.66900000000000004</v>
      </c>
      <c r="R14" s="11">
        <v>2.0000000000000001E-4</v>
      </c>
      <c r="S14" s="17">
        <f>R14*R3</f>
        <v>4.7600000000000003E-2</v>
      </c>
      <c r="T14" s="11"/>
      <c r="U14" s="12"/>
      <c r="V14" s="11">
        <v>2.9000000000000001E-2</v>
      </c>
      <c r="W14" s="17">
        <f>V14*V3</f>
        <v>3.6540000000000004</v>
      </c>
      <c r="X14" s="11">
        <v>0.20499999999999999</v>
      </c>
      <c r="Y14" s="17">
        <f>X14*X3</f>
        <v>264.45</v>
      </c>
      <c r="Z14" s="11">
        <v>0.97</v>
      </c>
      <c r="AA14" s="17">
        <f>Z14*Z3</f>
        <v>109.61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31.665999999999997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3.5369999999999999</v>
      </c>
      <c r="BH14" s="11"/>
      <c r="BI14" s="12"/>
      <c r="BJ14" s="11">
        <v>5.2881929202113556E-2</v>
      </c>
      <c r="BK14" s="12">
        <v>520.19953756119105</v>
      </c>
    </row>
    <row r="15" spans="1:63" x14ac:dyDescent="0.3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6.3231850117095922E-2</v>
      </c>
      <c r="Y15" s="8">
        <v>81.569086651053738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8.2920693962644856E-3</v>
      </c>
      <c r="BK15" s="8">
        <v>81.569086651053738</v>
      </c>
    </row>
    <row r="16" spans="1:63" ht="58" x14ac:dyDescent="0.3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0.3233205474892894</v>
      </c>
      <c r="BK16" s="8">
        <v>3180.5042256521397</v>
      </c>
    </row>
    <row r="17" spans="1:63" ht="43.5" x14ac:dyDescent="0.3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0.13650124349460624</v>
      </c>
      <c r="BK17" s="8">
        <v>1342.7627322564415</v>
      </c>
    </row>
    <row r="18" spans="1:63" x14ac:dyDescent="0.35">
      <c r="A18" s="6" t="s">
        <v>204</v>
      </c>
      <c r="B18" s="13">
        <v>0.53296231067772015</v>
      </c>
      <c r="C18" s="14">
        <v>44.235871786250776</v>
      </c>
      <c r="D18" s="13">
        <v>0.85882709517168043</v>
      </c>
      <c r="E18" s="14">
        <v>12.882406427575207</v>
      </c>
      <c r="F18" s="13">
        <v>0.90491615129413083</v>
      </c>
      <c r="G18" s="14">
        <v>112.20960276047222</v>
      </c>
      <c r="H18" s="13">
        <v>0.5931682150717883</v>
      </c>
      <c r="I18" s="14">
        <v>188.0343241777569</v>
      </c>
      <c r="J18" s="13">
        <v>0.51256590851158212</v>
      </c>
      <c r="K18" s="14">
        <v>136.85509757259243</v>
      </c>
      <c r="L18" s="13">
        <v>0.56670123289178798</v>
      </c>
      <c r="M18" s="14">
        <v>724.24417563570501</v>
      </c>
      <c r="N18" s="13">
        <v>0.88700000000000001</v>
      </c>
      <c r="O18" s="14">
        <v>23.062000000000001</v>
      </c>
      <c r="P18" s="13">
        <v>0.51665973782759944</v>
      </c>
      <c r="Q18" s="14">
        <v>115.21512153555467</v>
      </c>
      <c r="R18" s="13">
        <v>0.35507477728639414</v>
      </c>
      <c r="S18" s="14">
        <v>84.507796994161808</v>
      </c>
      <c r="T18" s="13">
        <v>9.6413302202729811E-2</v>
      </c>
      <c r="U18" s="14">
        <v>1.2533729286354875</v>
      </c>
      <c r="V18" s="13">
        <v>0.76696077933006412</v>
      </c>
      <c r="W18" s="14">
        <v>96.637058195588082</v>
      </c>
      <c r="X18" s="13">
        <v>0.83770143042492085</v>
      </c>
      <c r="Y18" s="14">
        <v>1080.6348452481479</v>
      </c>
      <c r="Z18" s="13">
        <v>0.97</v>
      </c>
      <c r="AA18" s="14">
        <v>109.61</v>
      </c>
      <c r="AB18" s="13">
        <v>0.90996265224992812</v>
      </c>
      <c r="AC18" s="14">
        <v>363.98506089997124</v>
      </c>
      <c r="AD18" s="13">
        <v>1</v>
      </c>
      <c r="AE18" s="14">
        <v>2</v>
      </c>
      <c r="AF18" s="13">
        <v>5.9736100713214668E-4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17.724</v>
      </c>
      <c r="AT18" s="13">
        <v>0.5400121123017505</v>
      </c>
      <c r="AU18" s="14">
        <v>240.84540208658072</v>
      </c>
      <c r="AV18" s="13">
        <v>0.30708593359991398</v>
      </c>
      <c r="AW18" s="14">
        <v>111.47219389676877</v>
      </c>
      <c r="AX18" s="13">
        <v>8.4558889408364535E-2</v>
      </c>
      <c r="AY18" s="14">
        <v>3.1286789081094879</v>
      </c>
      <c r="AZ18" s="13">
        <v>0.13771153643726874</v>
      </c>
      <c r="BA18" s="14">
        <v>20.519018929153042</v>
      </c>
      <c r="BB18" s="13">
        <v>0.43016129032258066</v>
      </c>
      <c r="BC18" s="14">
        <v>26.67</v>
      </c>
      <c r="BD18" s="13">
        <v>3.4380964595657648E-2</v>
      </c>
      <c r="BE18" s="14">
        <v>11.827051820906231</v>
      </c>
      <c r="BF18" s="13">
        <v>0.110309089785534</v>
      </c>
      <c r="BG18" s="14">
        <v>43.351472285714863</v>
      </c>
      <c r="BH18" s="13">
        <v>5.0051732746392297E-4</v>
      </c>
      <c r="BI18" s="14">
        <v>0.17367951262998127</v>
      </c>
      <c r="BJ18" s="13">
        <v>0.39018674576828172</v>
      </c>
      <c r="BK18" s="14">
        <v>3838.2670181225872</v>
      </c>
    </row>
    <row r="19" spans="1:63" s="15" customFormat="1" ht="63" customHeight="1" x14ac:dyDescent="0.35">
      <c r="A19" s="1" t="s">
        <v>24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83</v>
      </c>
      <c r="C21" s="65"/>
      <c r="D21" s="65">
        <v>2</v>
      </c>
      <c r="E21" s="65"/>
      <c r="F21" s="65">
        <v>32</v>
      </c>
      <c r="G21" s="65"/>
      <c r="H21" s="65">
        <v>163</v>
      </c>
      <c r="I21" s="65"/>
      <c r="J21" s="65">
        <v>155</v>
      </c>
      <c r="K21" s="65"/>
      <c r="L21" s="65">
        <v>981</v>
      </c>
      <c r="M21" s="65"/>
      <c r="N21" s="65">
        <v>37</v>
      </c>
      <c r="O21" s="65"/>
      <c r="P21" s="65">
        <v>97</v>
      </c>
      <c r="Q21" s="65"/>
      <c r="R21" s="65">
        <v>270</v>
      </c>
      <c r="S21" s="65"/>
      <c r="T21" s="65">
        <v>29</v>
      </c>
      <c r="U21" s="65"/>
      <c r="V21" s="65">
        <v>30</v>
      </c>
      <c r="W21" s="65"/>
      <c r="X21" s="65">
        <v>1177</v>
      </c>
      <c r="Y21" s="65"/>
      <c r="Z21" s="65">
        <v>11</v>
      </c>
      <c r="AA21" s="65"/>
      <c r="AB21" s="65">
        <v>384</v>
      </c>
      <c r="AC21" s="65"/>
      <c r="AD21" s="65">
        <v>1</v>
      </c>
      <c r="AE21" s="65"/>
      <c r="AF21" s="65">
        <v>2786</v>
      </c>
      <c r="AG21" s="65"/>
      <c r="AH21" s="65">
        <v>80</v>
      </c>
      <c r="AI21" s="65"/>
      <c r="AJ21" s="65">
        <v>6</v>
      </c>
      <c r="AK21" s="65"/>
      <c r="AL21" s="65">
        <v>149</v>
      </c>
      <c r="AM21" s="65"/>
      <c r="AN21" s="65">
        <v>483</v>
      </c>
      <c r="AO21" s="65"/>
      <c r="AP21" s="65">
        <v>353</v>
      </c>
      <c r="AQ21" s="65"/>
      <c r="AR21" s="65" t="s">
        <v>6</v>
      </c>
      <c r="AS21" s="65"/>
      <c r="AT21" s="65">
        <v>182</v>
      </c>
      <c r="AU21" s="65"/>
      <c r="AV21" s="65">
        <v>204</v>
      </c>
      <c r="AW21" s="65"/>
      <c r="AX21" s="65">
        <v>78</v>
      </c>
      <c r="AY21" s="65"/>
      <c r="AZ21" s="65">
        <v>139</v>
      </c>
      <c r="BA21" s="65"/>
      <c r="BB21" s="65">
        <v>57</v>
      </c>
      <c r="BC21" s="65"/>
      <c r="BD21" s="65">
        <v>295</v>
      </c>
      <c r="BE21" s="65"/>
      <c r="BF21" s="65">
        <v>231</v>
      </c>
      <c r="BG21" s="65"/>
      <c r="BH21" s="65">
        <v>464</v>
      </c>
      <c r="BI21" s="65"/>
      <c r="BJ21" s="65">
        <v>9251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0.16523523593784248</v>
      </c>
      <c r="C23" s="8">
        <v>13.714524582840927</v>
      </c>
      <c r="D23" s="7">
        <v>0.24868538973462173</v>
      </c>
      <c r="E23" s="8">
        <v>0.49737077946924346</v>
      </c>
      <c r="F23" s="7">
        <v>0.37172721440240292</v>
      </c>
      <c r="G23" s="8">
        <v>11.895270860876893</v>
      </c>
      <c r="H23" s="7">
        <v>0.33163021792916936</v>
      </c>
      <c r="I23" s="8">
        <v>54.055725522454608</v>
      </c>
      <c r="J23" s="7">
        <v>3.6240075530461338E-2</v>
      </c>
      <c r="K23" s="8">
        <v>5.6172117072215073</v>
      </c>
      <c r="L23" s="7">
        <v>6.2853764177756469E-2</v>
      </c>
      <c r="M23" s="8">
        <v>61.659542658379102</v>
      </c>
      <c r="N23" s="7"/>
      <c r="O23" s="8"/>
      <c r="P23" s="7">
        <v>0.13636945999344741</v>
      </c>
      <c r="Q23" s="8">
        <v>13.227837619364399</v>
      </c>
      <c r="R23" s="7">
        <v>0.22429754632864857</v>
      </c>
      <c r="S23" s="8">
        <v>60.560337508735117</v>
      </c>
      <c r="T23" s="7"/>
      <c r="U23" s="8"/>
      <c r="V23" s="7">
        <v>0.6277798532672676</v>
      </c>
      <c r="W23" s="8">
        <v>18.833395598018029</v>
      </c>
      <c r="X23" s="7">
        <v>0.72664684793188761</v>
      </c>
      <c r="Y23" s="8">
        <v>855.26334001583166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0.22424679053185723</v>
      </c>
      <c r="AM23" s="8">
        <v>33.412771789246726</v>
      </c>
      <c r="AN23" s="7"/>
      <c r="AO23" s="8"/>
      <c r="AP23" s="7">
        <v>4.2992642802865081E-3</v>
      </c>
      <c r="AQ23" s="8">
        <v>1.5176402909411375</v>
      </c>
      <c r="AR23" s="7"/>
      <c r="AS23" s="8"/>
      <c r="AT23" s="7">
        <v>0.44164591362601308</v>
      </c>
      <c r="AU23" s="8">
        <v>80.379556279934377</v>
      </c>
      <c r="AV23" s="7">
        <v>0.12021863362758609</v>
      </c>
      <c r="AW23" s="8">
        <v>24.524601260027563</v>
      </c>
      <c r="AX23" s="7"/>
      <c r="AY23" s="8"/>
      <c r="AZ23" s="7"/>
      <c r="BA23" s="8"/>
      <c r="BB23" s="7"/>
      <c r="BC23" s="8"/>
      <c r="BD23" s="7"/>
      <c r="BE23" s="8"/>
      <c r="BF23" s="7">
        <v>2.5958764795151766E-2</v>
      </c>
      <c r="BG23" s="8">
        <v>5.996474667680058</v>
      </c>
      <c r="BH23" s="7"/>
      <c r="BI23" s="8"/>
      <c r="BJ23" s="7">
        <v>0.13416447963906838</v>
      </c>
      <c r="BK23" s="8">
        <v>1241.1556011410216</v>
      </c>
    </row>
    <row r="24" spans="1:63" x14ac:dyDescent="0.35">
      <c r="A24" s="6" t="s">
        <v>10</v>
      </c>
      <c r="B24" s="7">
        <v>0.17382731536108897</v>
      </c>
      <c r="C24" s="8">
        <v>14.427667174970384</v>
      </c>
      <c r="D24" s="7"/>
      <c r="E24" s="8"/>
      <c r="F24" s="7">
        <v>0.19738417007616363</v>
      </c>
      <c r="G24" s="8">
        <v>6.3162934424372361</v>
      </c>
      <c r="H24" s="7">
        <v>0.15613541537591555</v>
      </c>
      <c r="I24" s="8">
        <v>25.450072706274234</v>
      </c>
      <c r="J24" s="7"/>
      <c r="K24" s="8"/>
      <c r="L24" s="7">
        <v>3.5989848376815792E-2</v>
      </c>
      <c r="M24" s="8">
        <v>35.30604125765629</v>
      </c>
      <c r="N24" s="7"/>
      <c r="O24" s="8"/>
      <c r="P24" s="7">
        <v>7.683760002456747E-3</v>
      </c>
      <c r="Q24" s="8">
        <v>0.74532472023830443</v>
      </c>
      <c r="R24" s="7"/>
      <c r="S24" s="8"/>
      <c r="T24" s="7"/>
      <c r="U24" s="8"/>
      <c r="V24" s="7">
        <v>0.10832737337061382</v>
      </c>
      <c r="W24" s="8">
        <v>3.2498212011184147</v>
      </c>
      <c r="X24" s="7"/>
      <c r="Y24" s="8"/>
      <c r="Z24" s="7"/>
      <c r="AA24" s="8"/>
      <c r="AB24" s="7"/>
      <c r="AC24" s="8"/>
      <c r="AD24" s="7"/>
      <c r="AE24" s="8"/>
      <c r="AF24" s="7">
        <v>7.7513396321944247E-2</v>
      </c>
      <c r="AG24" s="8">
        <v>215.95232215293669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3.2585400784307807E-2</v>
      </c>
      <c r="BK24" s="8">
        <v>301.44754265563154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7.4376670600629108E-2</v>
      </c>
      <c r="M25" s="10">
        <v>72.963513859217159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7.8870947853439798E-3</v>
      </c>
      <c r="BK25" s="10">
        <v>72.963513859217159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0.32174479576598669</v>
      </c>
      <c r="M26" s="10">
        <v>315.63164464643296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3.4118651458916113E-2</v>
      </c>
      <c r="BK26" s="10">
        <v>315.63164464643296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0.13952547080380548</v>
      </c>
      <c r="I27" s="10">
        <v>22.742651741020293</v>
      </c>
      <c r="J27" s="9">
        <v>5.148902340124166E-2</v>
      </c>
      <c r="K27" s="10">
        <v>7.9807986271924571</v>
      </c>
      <c r="L27" s="9">
        <v>5.6066701167664455E-2</v>
      </c>
      <c r="M27" s="10">
        <v>55.001433845478829</v>
      </c>
      <c r="N27" s="9"/>
      <c r="O27" s="10"/>
      <c r="P27" s="9">
        <v>0.18513706923868234</v>
      </c>
      <c r="Q27" s="10">
        <v>17.958295716152186</v>
      </c>
      <c r="R27" s="9">
        <v>8.7700910287357228E-2</v>
      </c>
      <c r="S27" s="10">
        <v>23.679245777586452</v>
      </c>
      <c r="T27" s="9">
        <v>0.1811986308481762</v>
      </c>
      <c r="U27" s="10">
        <v>5.2547602945971095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7.4730956741007742E-2</v>
      </c>
      <c r="AG27" s="10">
        <v>208.20044548044757</v>
      </c>
      <c r="AH27" s="9"/>
      <c r="AI27" s="10"/>
      <c r="AJ27" s="9"/>
      <c r="AK27" s="10"/>
      <c r="AL27" s="9"/>
      <c r="AM27" s="10"/>
      <c r="AN27" s="9">
        <v>0.30089153633577664</v>
      </c>
      <c r="AO27" s="10">
        <v>145.33061205018012</v>
      </c>
      <c r="AP27" s="9">
        <v>6.0606211653522077E-2</v>
      </c>
      <c r="AQ27" s="10">
        <v>21.393992713693294</v>
      </c>
      <c r="AR27" s="9"/>
      <c r="AS27" s="10"/>
      <c r="AT27" s="9"/>
      <c r="AU27" s="10"/>
      <c r="AV27" s="9">
        <v>0.24013209135931252</v>
      </c>
      <c r="AW27" s="10">
        <v>48.986946637299752</v>
      </c>
      <c r="AX27" s="9">
        <v>7.009111291013187E-2</v>
      </c>
      <c r="AY27" s="10">
        <v>5.4671068069902855</v>
      </c>
      <c r="AZ27" s="9">
        <v>8.8429436864125618E-2</v>
      </c>
      <c r="BA27" s="10">
        <v>12.291691724113461</v>
      </c>
      <c r="BB27" s="9"/>
      <c r="BC27" s="10"/>
      <c r="BD27" s="9"/>
      <c r="BE27" s="10"/>
      <c r="BF27" s="9"/>
      <c r="BG27" s="10"/>
      <c r="BH27" s="9">
        <v>3.4917464270582635E-2</v>
      </c>
      <c r="BI27" s="10">
        <v>16.201703421550341</v>
      </c>
      <c r="BJ27" s="9">
        <v>6.3829822163690639E-2</v>
      </c>
      <c r="BK27" s="10">
        <v>590.4896848363021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4.9477838548293331E-2</v>
      </c>
      <c r="M28" s="10">
        <v>48.537759615875757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5.2467581467815112E-3</v>
      </c>
      <c r="BK28" s="10">
        <v>48.537759615875757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3.258597152895755E-2</v>
      </c>
      <c r="AG29" s="8">
        <v>90.784516679675733</v>
      </c>
      <c r="AH29" s="7"/>
      <c r="AI29" s="8"/>
      <c r="AJ29" s="7"/>
      <c r="AK29" s="8"/>
      <c r="AL29" s="7"/>
      <c r="AM29" s="8"/>
      <c r="AN29" s="7"/>
      <c r="AO29" s="8"/>
      <c r="AP29" s="7">
        <v>4.6116846277620312E-2</v>
      </c>
      <c r="AQ29" s="8">
        <v>16.279246735999969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1.1573209751991753E-2</v>
      </c>
      <c r="BK29" s="8">
        <v>107.06376341567571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5.9252298612627926E-3</v>
      </c>
      <c r="AG30" s="10">
        <v>16.507690393478139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3.4607862057618134E-3</v>
      </c>
      <c r="BK30" s="8">
        <v>32.015733189502534</v>
      </c>
    </row>
    <row r="31" spans="1:63" x14ac:dyDescent="0.35">
      <c r="A31" s="6" t="s">
        <v>12</v>
      </c>
      <c r="B31" s="9">
        <v>1.2800000000000001E-2</v>
      </c>
      <c r="C31" s="10">
        <v>1.0624</v>
      </c>
      <c r="D31" s="9">
        <v>0.8</v>
      </c>
      <c r="E31" s="10">
        <v>1.6</v>
      </c>
      <c r="F31" s="9">
        <v>0.63300000000000001</v>
      </c>
      <c r="G31" s="10">
        <v>20.256</v>
      </c>
      <c r="H31" s="9"/>
      <c r="I31" s="10"/>
      <c r="J31" s="9">
        <v>0.37699077080486743</v>
      </c>
      <c r="K31" s="10">
        <v>58.433569474754449</v>
      </c>
      <c r="L31" s="9"/>
      <c r="M31" s="10"/>
      <c r="N31" s="9">
        <v>0.92500000000000004</v>
      </c>
      <c r="O31" s="10">
        <v>34.225000000000001</v>
      </c>
      <c r="P31" s="9">
        <v>7.2374813016845341E-2</v>
      </c>
      <c r="Q31" s="10">
        <v>7.0203568626339976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</v>
      </c>
      <c r="AF31" s="9"/>
      <c r="AG31" s="10"/>
      <c r="AH31" s="9">
        <v>0.68799999999999994</v>
      </c>
      <c r="AI31" s="10">
        <v>55.039999999999992</v>
      </c>
      <c r="AJ31" s="9">
        <v>0.75</v>
      </c>
      <c r="AK31" s="10">
        <v>4.5</v>
      </c>
      <c r="AL31" s="9">
        <v>0.997</v>
      </c>
      <c r="AM31" s="10">
        <v>148.553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0.4001754385964913</v>
      </c>
      <c r="BC31" s="10">
        <v>22.810000000000002</v>
      </c>
      <c r="BD31" s="9">
        <v>3.3498519012056832E-2</v>
      </c>
      <c r="BE31" s="10">
        <v>9.2790897663397427</v>
      </c>
      <c r="BF31" s="9"/>
      <c r="BG31" s="10"/>
      <c r="BH31" s="9"/>
      <c r="BI31" s="10"/>
      <c r="BJ31" s="9">
        <v>3.9323267557261385E-2</v>
      </c>
      <c r="BK31" s="10">
        <v>363.77954817222508</v>
      </c>
    </row>
    <row r="32" spans="1:63" x14ac:dyDescent="0.35">
      <c r="A32" s="6" t="s">
        <v>13</v>
      </c>
      <c r="B32" s="7">
        <v>1.4523821371411616E-3</v>
      </c>
      <c r="C32" s="8">
        <v>0.12054771738271641</v>
      </c>
      <c r="D32" s="7"/>
      <c r="E32" s="8"/>
      <c r="F32" s="7"/>
      <c r="G32" s="8"/>
      <c r="H32" s="7">
        <v>6.4198066708303029E-3</v>
      </c>
      <c r="I32" s="8">
        <v>1.0464284873453393</v>
      </c>
      <c r="J32" s="7">
        <v>9.274510098238424E-3</v>
      </c>
      <c r="K32" s="8">
        <v>1.4375490652269558</v>
      </c>
      <c r="L32" s="7">
        <v>1.9779982180437892E-2</v>
      </c>
      <c r="M32" s="8">
        <v>19.404162519009571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6.3444337608023454E-2</v>
      </c>
      <c r="Y32" s="8">
        <v>74.673985364643613</v>
      </c>
      <c r="Z32" s="7"/>
      <c r="AA32" s="8"/>
      <c r="AB32" s="7"/>
      <c r="AC32" s="8"/>
      <c r="AD32" s="7"/>
      <c r="AE32" s="8"/>
      <c r="AF32" s="7">
        <v>1.546323194246871E-2</v>
      </c>
      <c r="AG32" s="8">
        <v>43.080564191717826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1.7992702930657675E-2</v>
      </c>
      <c r="AU32" s="8">
        <v>3.2746719333796968</v>
      </c>
      <c r="AV32" s="7"/>
      <c r="AW32" s="8"/>
      <c r="AX32" s="7">
        <v>8.4601628617189048E-3</v>
      </c>
      <c r="AY32" s="8">
        <v>1.2605642663961167</v>
      </c>
      <c r="AZ32" s="7"/>
      <c r="BA32" s="8"/>
      <c r="BB32" s="7"/>
      <c r="BC32" s="8"/>
      <c r="BD32" s="7"/>
      <c r="BE32" s="8"/>
      <c r="BF32" s="7">
        <v>9.7183539810855479E-2</v>
      </c>
      <c r="BG32" s="8">
        <v>22.449397696307617</v>
      </c>
      <c r="BH32" s="7">
        <v>5.0051732746392297E-4</v>
      </c>
      <c r="BI32" s="8">
        <v>0.23224003994326026</v>
      </c>
      <c r="BJ32" s="7">
        <v>2.3921919648128811E-2</v>
      </c>
      <c r="BK32" s="8">
        <v>221.30167866483961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0.81001453364759168</v>
      </c>
      <c r="AC33" s="8">
        <v>311.04558092067521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3.3622914379059045E-2</v>
      </c>
      <c r="BK33" s="8">
        <v>311.04558092067521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4.0000000000000001E-3</v>
      </c>
      <c r="F34" s="11"/>
      <c r="G34" s="17"/>
      <c r="H34" s="11">
        <v>1.0999999999999999E-2</v>
      </c>
      <c r="I34" s="17">
        <f>H34*H21</f>
        <v>1.7929999999999999</v>
      </c>
      <c r="J34" s="11">
        <v>3.0000000000000001E-3</v>
      </c>
      <c r="K34" s="17">
        <f>J34*J21</f>
        <v>0.46500000000000002</v>
      </c>
      <c r="L34" s="11"/>
      <c r="M34" s="12"/>
      <c r="N34" s="11"/>
      <c r="O34" s="12"/>
      <c r="P34" s="11">
        <v>1E-3</v>
      </c>
      <c r="Q34" s="17">
        <f>P34*P21</f>
        <v>9.7000000000000003E-2</v>
      </c>
      <c r="R34" s="11"/>
      <c r="S34" s="17"/>
      <c r="T34" s="11"/>
      <c r="U34" s="12"/>
      <c r="V34" s="11">
        <v>1.6E-2</v>
      </c>
      <c r="W34" s="17">
        <f>V34*V21</f>
        <v>0.48</v>
      </c>
      <c r="X34" s="11">
        <v>4.2999999999999997E-2</v>
      </c>
      <c r="Y34" s="17">
        <f>X34*X21</f>
        <v>50.610999999999997</v>
      </c>
      <c r="Z34" s="11">
        <v>0.82499999999999996</v>
      </c>
      <c r="AA34" s="17">
        <f>Z34*Z21</f>
        <v>9.0749999999999993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1.0429999999999999</v>
      </c>
      <c r="AN34" s="11"/>
      <c r="AO34" s="12"/>
      <c r="AP34" s="11">
        <v>5.0000000000000001E-3</v>
      </c>
      <c r="AQ34" s="17">
        <f>AP34*AP21</f>
        <v>1.7650000000000001</v>
      </c>
      <c r="AR34" s="11"/>
      <c r="AS34" s="12"/>
      <c r="AT34" s="11">
        <v>1.9E-2</v>
      </c>
      <c r="AU34" s="17">
        <f>AT34*AT21</f>
        <v>3.4579999999999997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1.155</v>
      </c>
      <c r="BH34" s="11"/>
      <c r="BI34" s="12"/>
      <c r="BJ34" s="11">
        <v>2.6040343925283187E-2</v>
      </c>
      <c r="BK34" s="12">
        <v>240.89922165279478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6.3231850117095922E-2</v>
      </c>
      <c r="Y35" s="8">
        <v>74.423887587821895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8.0449559602012635E-3</v>
      </c>
      <c r="BK35" s="8">
        <v>74.423887587821895</v>
      </c>
    </row>
    <row r="36" spans="1:63" x14ac:dyDescent="0.3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4.7220963865575269E-2</v>
      </c>
      <c r="AG36" s="8">
        <v>131.5576053294927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1.4220906424115522E-2</v>
      </c>
      <c r="BK36" s="8">
        <v>131.5576053294927</v>
      </c>
    </row>
    <row r="37" spans="1:63" ht="58" x14ac:dyDescent="0.3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0.27764662993193157</v>
      </c>
      <c r="BK37" s="8">
        <v>2568.5089735002989</v>
      </c>
    </row>
    <row r="38" spans="1:63" ht="43.5" x14ac:dyDescent="0.3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0.13668819165233281</v>
      </c>
      <c r="BK38" s="8">
        <v>1264.5024609757309</v>
      </c>
    </row>
    <row r="39" spans="1:63" x14ac:dyDescent="0.35">
      <c r="A39" s="6" t="s">
        <v>204</v>
      </c>
      <c r="B39" s="13">
        <v>0.32015662838960879</v>
      </c>
      <c r="C39" s="14">
        <v>26.573000156337528</v>
      </c>
      <c r="D39" s="13">
        <v>0.85003760379103055</v>
      </c>
      <c r="E39" s="14">
        <v>1.7000752075820611</v>
      </c>
      <c r="F39" s="13">
        <v>0.81493596225423182</v>
      </c>
      <c r="G39" s="14">
        <v>26.077950792135418</v>
      </c>
      <c r="H39" s="13">
        <v>0.52310056958779394</v>
      </c>
      <c r="I39" s="14">
        <v>85.265392842810414</v>
      </c>
      <c r="J39" s="13">
        <v>0.43745897534301625</v>
      </c>
      <c r="K39" s="14">
        <v>67.806141178167522</v>
      </c>
      <c r="L39" s="13">
        <v>0.50118038789854435</v>
      </c>
      <c r="M39" s="14">
        <v>491.65796052847202</v>
      </c>
      <c r="N39" s="13">
        <v>0.92500000000000004</v>
      </c>
      <c r="O39" s="14">
        <v>34.225000000000001</v>
      </c>
      <c r="P39" s="13">
        <v>0.35285638210056736</v>
      </c>
      <c r="Q39" s="14">
        <v>34.227069063755032</v>
      </c>
      <c r="R39" s="13">
        <v>0.29232735762776263</v>
      </c>
      <c r="S39" s="14">
        <v>78.928386559495905</v>
      </c>
      <c r="T39" s="13">
        <v>0.18119863084817622</v>
      </c>
      <c r="U39" s="14">
        <v>5.2547602945971104</v>
      </c>
      <c r="V39" s="13">
        <v>0.67341186033319378</v>
      </c>
      <c r="W39" s="14">
        <v>20.202355809995815</v>
      </c>
      <c r="X39" s="13">
        <v>0.77048993594492177</v>
      </c>
      <c r="Y39" s="14">
        <v>906.8666546071729</v>
      </c>
      <c r="Z39" s="13">
        <v>0.82499999999999996</v>
      </c>
      <c r="AA39" s="14">
        <v>9.0749999999999993</v>
      </c>
      <c r="AB39" s="13">
        <v>0.81001453364759168</v>
      </c>
      <c r="AC39" s="14">
        <v>311.04558092067521</v>
      </c>
      <c r="AD39" s="13">
        <v>1</v>
      </c>
      <c r="AE39" s="14">
        <v>1</v>
      </c>
      <c r="AF39" s="13">
        <v>0.23001251731171024</v>
      </c>
      <c r="AG39" s="14">
        <v>640.81487323042472</v>
      </c>
      <c r="AH39" s="13">
        <v>0.68799999999999994</v>
      </c>
      <c r="AI39" s="14">
        <v>55.039999999999992</v>
      </c>
      <c r="AJ39" s="13">
        <v>0.75</v>
      </c>
      <c r="AK39" s="14">
        <v>4.5</v>
      </c>
      <c r="AL39" s="13">
        <v>0.99768903118899444</v>
      </c>
      <c r="AM39" s="14">
        <v>148.65566564716016</v>
      </c>
      <c r="AN39" s="13">
        <v>0.3008915363357767</v>
      </c>
      <c r="AO39" s="14">
        <v>145.33061205018015</v>
      </c>
      <c r="AP39" s="13">
        <v>0.11224163783487673</v>
      </c>
      <c r="AQ39" s="14">
        <v>39.621298155711486</v>
      </c>
      <c r="AR39" s="13">
        <v>0</v>
      </c>
      <c r="AS39" s="14" t="s">
        <v>68</v>
      </c>
      <c r="AT39" s="13">
        <v>0.46211006078844608</v>
      </c>
      <c r="AU39" s="14">
        <v>84.104031063497189</v>
      </c>
      <c r="AV39" s="13">
        <v>0.33148237307354744</v>
      </c>
      <c r="AW39" s="14">
        <v>67.622404107003675</v>
      </c>
      <c r="AX39" s="13">
        <v>7.7958293541471879E-2</v>
      </c>
      <c r="AY39" s="14">
        <v>6.0807468962348068</v>
      </c>
      <c r="AZ39" s="13">
        <v>8.8429436864125632E-2</v>
      </c>
      <c r="BA39" s="14">
        <v>12.291691724113463</v>
      </c>
      <c r="BB39" s="13">
        <v>0.4001754385964913</v>
      </c>
      <c r="BC39" s="14">
        <v>22.810000000000002</v>
      </c>
      <c r="BD39" s="13">
        <v>3.3498519012056804E-2</v>
      </c>
      <c r="BE39" s="14">
        <v>9.882063108556757</v>
      </c>
      <c r="BF39" s="13">
        <v>0.12501644225432651</v>
      </c>
      <c r="BG39" s="14">
        <v>28.878798160749422</v>
      </c>
      <c r="BH39" s="13">
        <v>3.5400504802148069E-2</v>
      </c>
      <c r="BI39" s="14">
        <v>16.425834228196706</v>
      </c>
      <c r="BJ39" s="13">
        <v>0.36457690218797212</v>
      </c>
      <c r="BK39" s="14">
        <v>3372.7009221409303</v>
      </c>
    </row>
    <row r="40" spans="1:63" s="15" customFormat="1" ht="63" customHeight="1" x14ac:dyDescent="0.35">
      <c r="A40" s="1" t="s">
        <v>24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166</v>
      </c>
      <c r="C42" s="65"/>
      <c r="D42" s="65">
        <v>17</v>
      </c>
      <c r="E42" s="65"/>
      <c r="F42" s="65">
        <v>156</v>
      </c>
      <c r="G42" s="65"/>
      <c r="H42" s="65">
        <v>480</v>
      </c>
      <c r="I42" s="65"/>
      <c r="J42" s="65">
        <v>422</v>
      </c>
      <c r="K42" s="65"/>
      <c r="L42" s="65">
        <v>2259</v>
      </c>
      <c r="M42" s="65"/>
      <c r="N42" s="65">
        <v>63</v>
      </c>
      <c r="O42" s="65"/>
      <c r="P42" s="65">
        <v>320</v>
      </c>
      <c r="Q42" s="65"/>
      <c r="R42" s="65">
        <v>508</v>
      </c>
      <c r="S42" s="65"/>
      <c r="T42" s="65">
        <v>42</v>
      </c>
      <c r="U42" s="65"/>
      <c r="V42" s="65">
        <v>156</v>
      </c>
      <c r="W42" s="65"/>
      <c r="X42" s="65">
        <v>2467</v>
      </c>
      <c r="Y42" s="65"/>
      <c r="Z42" s="65">
        <v>124</v>
      </c>
      <c r="AA42" s="65"/>
      <c r="AB42" s="65"/>
      <c r="AC42" s="65"/>
      <c r="AD42" s="65">
        <v>3</v>
      </c>
      <c r="AE42" s="65"/>
      <c r="AF42" s="65">
        <v>2802</v>
      </c>
      <c r="AG42" s="65"/>
      <c r="AH42" s="65">
        <v>80</v>
      </c>
      <c r="AI42" s="65"/>
      <c r="AJ42" s="65">
        <v>6</v>
      </c>
      <c r="AK42" s="65"/>
      <c r="AL42" s="65">
        <v>149</v>
      </c>
      <c r="AM42" s="65"/>
      <c r="AN42" s="65">
        <v>483</v>
      </c>
      <c r="AO42" s="65"/>
      <c r="AP42" s="65">
        <v>353</v>
      </c>
      <c r="AQ42" s="65"/>
      <c r="AR42" s="65">
        <v>28</v>
      </c>
      <c r="AS42" s="65"/>
      <c r="AT42" s="65">
        <v>628</v>
      </c>
      <c r="AU42" s="65"/>
      <c r="AV42" s="65">
        <v>567</v>
      </c>
      <c r="AW42" s="65"/>
      <c r="AX42" s="65">
        <v>115</v>
      </c>
      <c r="AY42" s="65"/>
      <c r="AZ42" s="65">
        <v>288</v>
      </c>
      <c r="BA42" s="65"/>
      <c r="BB42" s="65">
        <v>119</v>
      </c>
      <c r="BC42" s="65"/>
      <c r="BD42" s="65">
        <v>639</v>
      </c>
      <c r="BE42" s="65"/>
      <c r="BF42" s="65">
        <v>624</v>
      </c>
      <c r="BG42" s="65"/>
      <c r="BH42" s="65">
        <v>811</v>
      </c>
      <c r="BI42" s="65"/>
      <c r="BJ42" s="65">
        <v>19088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0.17322201694511238</v>
      </c>
      <c r="C44" s="8">
        <v>28.754854812888656</v>
      </c>
      <c r="D44" s="7">
        <v>0.28502892014844694</v>
      </c>
      <c r="E44" s="8">
        <v>4.8454916425235979</v>
      </c>
      <c r="F44" s="7">
        <v>0.3960378089005594</v>
      </c>
      <c r="G44" s="8">
        <v>61.781898188487268</v>
      </c>
      <c r="H44" s="7">
        <v>0.34318825294944688</v>
      </c>
      <c r="I44" s="8">
        <v>164.73036141573451</v>
      </c>
      <c r="J44" s="7">
        <v>0.15853441259156167</v>
      </c>
      <c r="K44" s="8">
        <v>66.901522113639032</v>
      </c>
      <c r="L44" s="7">
        <v>7.5038562440492632E-2</v>
      </c>
      <c r="M44" s="8">
        <v>169.51211255307285</v>
      </c>
      <c r="N44" s="7"/>
      <c r="O44" s="8"/>
      <c r="P44" s="7">
        <v>0.2223060897941489</v>
      </c>
      <c r="Q44" s="8">
        <v>71.137948734127647</v>
      </c>
      <c r="R44" s="7">
        <v>0.24317879099483292</v>
      </c>
      <c r="S44" s="8">
        <v>123.53482582537512</v>
      </c>
      <c r="T44" s="7"/>
      <c r="U44" s="8"/>
      <c r="V44" s="7">
        <v>0.67027923035144132</v>
      </c>
      <c r="W44" s="8">
        <v>104.56355993482485</v>
      </c>
      <c r="X44" s="7">
        <v>0.74830687489767034</v>
      </c>
      <c r="Y44" s="8">
        <v>1846.0730603725528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0.22424679053185723</v>
      </c>
      <c r="AM44" s="8">
        <v>33.412771789246726</v>
      </c>
      <c r="AN44" s="7"/>
      <c r="AO44" s="8"/>
      <c r="AP44" s="7">
        <v>4.2992642802865081E-3</v>
      </c>
      <c r="AQ44" s="8">
        <v>1.5176402909411375</v>
      </c>
      <c r="AR44" s="7"/>
      <c r="AS44" s="8"/>
      <c r="AT44" s="7">
        <v>0.47899753754444491</v>
      </c>
      <c r="AU44" s="8">
        <v>300.8104535779114</v>
      </c>
      <c r="AV44" s="7">
        <v>0.1398156139725856</v>
      </c>
      <c r="AW44" s="8">
        <v>79.275453122456042</v>
      </c>
      <c r="AX44" s="7"/>
      <c r="AY44" s="8"/>
      <c r="AZ44" s="7"/>
      <c r="BA44" s="8"/>
      <c r="BB44" s="7"/>
      <c r="BC44" s="8"/>
      <c r="BD44" s="7"/>
      <c r="BE44" s="8"/>
      <c r="BF44" s="7">
        <v>2.6214568638836821E-2</v>
      </c>
      <c r="BG44" s="8">
        <v>16.357890830634176</v>
      </c>
      <c r="BH44" s="7"/>
      <c r="BI44" s="8"/>
      <c r="BJ44" s="7">
        <v>0.16100219222571335</v>
      </c>
      <c r="BK44" s="8">
        <v>3073.2098452044165</v>
      </c>
    </row>
    <row r="45" spans="1:63" x14ac:dyDescent="0.35">
      <c r="A45" s="6" t="s">
        <v>10</v>
      </c>
      <c r="B45" s="7">
        <v>0.34203812898817759</v>
      </c>
      <c r="C45" s="8">
        <v>88.587875407938</v>
      </c>
      <c r="D45" s="7"/>
      <c r="E45" s="8"/>
      <c r="F45" s="7">
        <v>0.37719801228611871</v>
      </c>
      <c r="G45" s="8">
        <v>58.842889916634519</v>
      </c>
      <c r="H45" s="7">
        <v>0.12183399436616486</v>
      </c>
      <c r="I45" s="8">
        <v>58.480317295759136</v>
      </c>
      <c r="J45" s="7"/>
      <c r="K45" s="8"/>
      <c r="L45" s="7">
        <v>6.3320187785708013E-2</v>
      </c>
      <c r="M45" s="8">
        <v>143.0403042079144</v>
      </c>
      <c r="N45" s="7"/>
      <c r="O45" s="8"/>
      <c r="P45" s="7">
        <v>6.5588709192145378E-2</v>
      </c>
      <c r="Q45" s="8">
        <v>20.988386941486521</v>
      </c>
      <c r="R45" s="7"/>
      <c r="S45" s="8"/>
      <c r="T45" s="7"/>
      <c r="U45" s="8"/>
      <c r="V45" s="7">
        <v>0.22200268266351897</v>
      </c>
      <c r="W45" s="8">
        <v>34.632418495508958</v>
      </c>
      <c r="X45" s="7"/>
      <c r="Y45" s="8"/>
      <c r="Z45" s="7"/>
      <c r="AA45" s="8"/>
      <c r="AB45" s="7"/>
      <c r="AC45" s="8"/>
      <c r="AD45" s="7"/>
      <c r="AE45" s="8"/>
      <c r="AF45" s="7">
        <v>7.7070778784060198E-2</v>
      </c>
      <c r="AG45" s="8">
        <v>215.95232215293669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3.250861873523566E-2</v>
      </c>
      <c r="BK45" s="8">
        <v>620.52451441817834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0.12239294365056019</v>
      </c>
      <c r="M46" s="10">
        <v>276.48565970661548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1.4484789381109361E-2</v>
      </c>
      <c r="BK46" s="10">
        <v>276.48565970661548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0.28239816717550942</v>
      </c>
      <c r="M47" s="10">
        <v>637.93745964947573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3.3420864399071444E-2</v>
      </c>
      <c r="BK47" s="10">
        <v>637.93745964947573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0.22962095166557642</v>
      </c>
      <c r="I48" s="10">
        <v>110.21805679947668</v>
      </c>
      <c r="J48" s="9">
        <v>7.993512771807719E-2</v>
      </c>
      <c r="K48" s="10">
        <v>33.732623897028574</v>
      </c>
      <c r="L48" s="9">
        <v>9.9781067343431895E-2</v>
      </c>
      <c r="M48" s="10">
        <v>225.40543112881264</v>
      </c>
      <c r="N48" s="9"/>
      <c r="O48" s="10"/>
      <c r="P48" s="9">
        <v>0.19778319063111144</v>
      </c>
      <c r="Q48" s="10">
        <v>63.290621001955664</v>
      </c>
      <c r="R48" s="9">
        <v>0.1041703244397995</v>
      </c>
      <c r="S48" s="10">
        <v>52.918524815418145</v>
      </c>
      <c r="T48" s="9">
        <v>0.15495555293410945</v>
      </c>
      <c r="U48" s="10">
        <v>6.5081332232325968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7.4730956741007742E-2</v>
      </c>
      <c r="AG48" s="10">
        <v>208.20044548044757</v>
      </c>
      <c r="AH48" s="9"/>
      <c r="AI48" s="10"/>
      <c r="AJ48" s="9"/>
      <c r="AK48" s="10"/>
      <c r="AL48" s="9"/>
      <c r="AM48" s="10"/>
      <c r="AN48" s="9">
        <v>0.30089153633577664</v>
      </c>
      <c r="AO48" s="10">
        <v>145.33061205018012</v>
      </c>
      <c r="AP48" s="9">
        <v>6.0606211653522077E-2</v>
      </c>
      <c r="AQ48" s="10">
        <v>21.393992713693294</v>
      </c>
      <c r="AR48" s="9"/>
      <c r="AS48" s="10"/>
      <c r="AT48" s="9"/>
      <c r="AU48" s="10"/>
      <c r="AV48" s="9">
        <v>0.20420293979364285</v>
      </c>
      <c r="AW48" s="10">
        <v>115.7830668629955</v>
      </c>
      <c r="AX48" s="9">
        <v>7.3426411164969785E-2</v>
      </c>
      <c r="AY48" s="10">
        <v>8.4440372839715252</v>
      </c>
      <c r="AZ48" s="9">
        <v>0.11392607865717536</v>
      </c>
      <c r="BA48" s="10">
        <v>32.810710653266504</v>
      </c>
      <c r="BB48" s="9"/>
      <c r="BC48" s="10"/>
      <c r="BD48" s="9"/>
      <c r="BE48" s="10"/>
      <c r="BF48" s="9"/>
      <c r="BG48" s="10"/>
      <c r="BH48" s="9">
        <v>1.997743948403248E-2</v>
      </c>
      <c r="BI48" s="10">
        <v>16.201703421550341</v>
      </c>
      <c r="BJ48" s="9">
        <v>5.4496959311191799E-2</v>
      </c>
      <c r="BK48" s="10">
        <v>1040.237959332029</v>
      </c>
    </row>
    <row r="49" spans="1:63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4.4232900399394183E-2</v>
      </c>
      <c r="M49" s="10">
        <v>99.922122002231461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5.2348136002845483E-3</v>
      </c>
      <c r="BK49" s="10">
        <v>99.922122002231461</v>
      </c>
    </row>
    <row r="50" spans="1:63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3.2399898886393906E-2</v>
      </c>
      <c r="AG50" s="8">
        <v>90.784516679675733</v>
      </c>
      <c r="AH50" s="7"/>
      <c r="AI50" s="8"/>
      <c r="AJ50" s="7"/>
      <c r="AK50" s="8"/>
      <c r="AL50" s="7"/>
      <c r="AM50" s="8"/>
      <c r="AN50" s="7"/>
      <c r="AO50" s="8"/>
      <c r="AP50" s="7">
        <v>4.6116846277620312E-2</v>
      </c>
      <c r="AQ50" s="8">
        <v>16.279246735999969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5.6089565913493141E-3</v>
      </c>
      <c r="BK50" s="8">
        <v>107.06376341567571</v>
      </c>
    </row>
    <row r="51" spans="1:63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5.8913955722620058E-3</v>
      </c>
      <c r="AG51" s="10">
        <v>16.507690393478139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1.6772701796679869E-3</v>
      </c>
      <c r="BK51" s="8">
        <v>32.015733189502534</v>
      </c>
    </row>
    <row r="52" spans="1:63" x14ac:dyDescent="0.35">
      <c r="A52" s="6" t="s">
        <v>12</v>
      </c>
      <c r="B52" s="9">
        <v>1.2799999999999999E-2</v>
      </c>
      <c r="C52" s="10">
        <v>3.3151999999999999</v>
      </c>
      <c r="D52" s="9">
        <v>0.79999999999999993</v>
      </c>
      <c r="E52" s="10">
        <v>13.6</v>
      </c>
      <c r="F52" s="9">
        <v>0.70533333333333326</v>
      </c>
      <c r="G52" s="10">
        <v>110.032</v>
      </c>
      <c r="H52" s="9"/>
      <c r="I52" s="10"/>
      <c r="J52" s="9">
        <v>0.31250584043919383</v>
      </c>
      <c r="K52" s="10">
        <v>131.8774646653398</v>
      </c>
      <c r="L52" s="9"/>
      <c r="M52" s="10"/>
      <c r="N52" s="9">
        <v>0.90931746031746041</v>
      </c>
      <c r="O52" s="10">
        <v>57.287000000000006</v>
      </c>
      <c r="P52" s="9">
        <v>8.8839548565131793E-2</v>
      </c>
      <c r="Q52" s="10">
        <v>28.428655540842172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3</v>
      </c>
      <c r="AF52" s="9"/>
      <c r="AG52" s="10"/>
      <c r="AH52" s="9">
        <v>0.68799999999999994</v>
      </c>
      <c r="AI52" s="10">
        <v>55.039999999999992</v>
      </c>
      <c r="AJ52" s="9">
        <v>0.75</v>
      </c>
      <c r="AK52" s="10">
        <v>4.5</v>
      </c>
      <c r="AL52" s="9">
        <v>0.997</v>
      </c>
      <c r="AM52" s="10">
        <v>148.553</v>
      </c>
      <c r="AN52" s="9"/>
      <c r="AO52" s="10"/>
      <c r="AP52" s="9"/>
      <c r="AQ52" s="10"/>
      <c r="AR52" s="9">
        <v>0.63300000000000001</v>
      </c>
      <c r="AS52" s="10">
        <v>17.724</v>
      </c>
      <c r="AT52" s="9"/>
      <c r="AU52" s="10"/>
      <c r="AV52" s="9"/>
      <c r="AW52" s="10"/>
      <c r="AX52" s="9"/>
      <c r="AY52" s="10"/>
      <c r="AZ52" s="9"/>
      <c r="BA52" s="10"/>
      <c r="BB52" s="9">
        <v>0.41579831932773115</v>
      </c>
      <c r="BC52" s="10">
        <v>49.480000000000004</v>
      </c>
      <c r="BD52" s="9">
        <v>3.3968759828950347E-2</v>
      </c>
      <c r="BE52" s="10">
        <v>20.143474578567556</v>
      </c>
      <c r="BF52" s="9"/>
      <c r="BG52" s="10"/>
      <c r="BH52" s="9"/>
      <c r="BI52" s="10"/>
      <c r="BJ52" s="9">
        <v>3.3685098532363573E-2</v>
      </c>
      <c r="BK52" s="10">
        <v>642.98116078575583</v>
      </c>
    </row>
    <row r="53" spans="1:63" x14ac:dyDescent="0.35">
      <c r="A53" s="6" t="s">
        <v>13</v>
      </c>
      <c r="B53" s="7">
        <v>1.4523821371411616E-3</v>
      </c>
      <c r="C53" s="8">
        <v>0.37616697351956085</v>
      </c>
      <c r="D53" s="7"/>
      <c r="E53" s="8"/>
      <c r="F53" s="7"/>
      <c r="G53" s="8"/>
      <c r="H53" s="7">
        <v>4.4385566708303034E-3</v>
      </c>
      <c r="I53" s="8">
        <v>2.1305072019985456</v>
      </c>
      <c r="J53" s="7">
        <v>6.1110029892336836E-3</v>
      </c>
      <c r="K53" s="8">
        <v>2.5788432614566146</v>
      </c>
      <c r="L53" s="7">
        <v>1.5270090451842907E-2</v>
      </c>
      <c r="M53" s="8">
        <v>34.495134330713128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6.1835850242736627E-2</v>
      </c>
      <c r="Y53" s="8">
        <v>152.54904254883127</v>
      </c>
      <c r="Z53" s="7"/>
      <c r="AA53" s="8"/>
      <c r="AB53" s="7"/>
      <c r="AC53" s="8"/>
      <c r="AD53" s="7"/>
      <c r="AE53" s="8"/>
      <c r="AF53" s="7">
        <v>1.5378344742266931E-2</v>
      </c>
      <c r="AG53" s="8">
        <v>43.090121967831941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2.0123276179065317E-2</v>
      </c>
      <c r="AU53" s="8">
        <v>12.637417440453019</v>
      </c>
      <c r="AV53" s="7"/>
      <c r="AW53" s="8"/>
      <c r="AX53" s="7">
        <v>7.6644639369877208E-3</v>
      </c>
      <c r="AY53" s="8">
        <v>1.4255902922797161</v>
      </c>
      <c r="AZ53" s="7"/>
      <c r="BA53" s="8"/>
      <c r="BB53" s="7"/>
      <c r="BC53" s="8"/>
      <c r="BD53" s="7"/>
      <c r="BE53" s="8"/>
      <c r="BF53" s="7">
        <v>8.5050296109880255E-2</v>
      </c>
      <c r="BG53" s="8">
        <v>53.071384772565281</v>
      </c>
      <c r="BH53" s="7">
        <v>5.0051732746392297E-4</v>
      </c>
      <c r="BI53" s="8">
        <v>0.40591955257324153</v>
      </c>
      <c r="BJ53" s="7">
        <v>2.1862355785109141E-2</v>
      </c>
      <c r="BK53" s="8">
        <v>417.30864722616326</v>
      </c>
    </row>
    <row r="54" spans="1:63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0.86100847171000827</v>
      </c>
      <c r="AC54" s="8">
        <v>675.03064182064645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3.5364136725725401E-2</v>
      </c>
      <c r="BK54" s="8">
        <v>675.03064182064645</v>
      </c>
    </row>
    <row r="55" spans="1:63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8.5000000000000006E-2</v>
      </c>
      <c r="F55" s="11"/>
      <c r="G55" s="17"/>
      <c r="H55" s="11">
        <v>2.5999999999999999E-2</v>
      </c>
      <c r="I55" s="17">
        <f>H55*H42</f>
        <v>12.479999999999999</v>
      </c>
      <c r="J55" s="11">
        <v>0.02</v>
      </c>
      <c r="K55" s="17">
        <f>J55*J42</f>
        <v>8.44</v>
      </c>
      <c r="L55" s="11"/>
      <c r="M55" s="12"/>
      <c r="N55" s="11"/>
      <c r="O55" s="12"/>
      <c r="P55" s="11">
        <v>2E-3</v>
      </c>
      <c r="Q55" s="17">
        <f>P55*P42</f>
        <v>0.64</v>
      </c>
      <c r="R55" s="11"/>
      <c r="S55" s="17"/>
      <c r="T55" s="11"/>
      <c r="U55" s="12"/>
      <c r="V55" s="11">
        <v>2.7E-2</v>
      </c>
      <c r="W55" s="17">
        <f>V55*V42</f>
        <v>4.2119999999999997</v>
      </c>
      <c r="X55" s="11">
        <v>0.13200000000000001</v>
      </c>
      <c r="Y55" s="17">
        <f>X55*X42</f>
        <v>325.64400000000001</v>
      </c>
      <c r="Z55" s="11">
        <v>0.94399999999999995</v>
      </c>
      <c r="AA55" s="17">
        <f>Z55*Z42</f>
        <v>117.056</v>
      </c>
      <c r="AB55" s="11"/>
      <c r="AC55" s="12"/>
      <c r="AD55" s="11"/>
      <c r="AE55" s="12"/>
      <c r="AF55" s="11"/>
      <c r="AG55" s="17"/>
      <c r="AH55" s="11"/>
      <c r="AI55" s="12"/>
      <c r="AJ55" s="11"/>
      <c r="AK55" s="12"/>
      <c r="AL55" s="11">
        <v>7.0000000000000001E-3</v>
      </c>
      <c r="AM55" s="17">
        <f>AL55*AL42</f>
        <v>1.0429999999999999</v>
      </c>
      <c r="AN55" s="11"/>
      <c r="AO55" s="12"/>
      <c r="AP55" s="11">
        <v>5.0000000000000001E-3</v>
      </c>
      <c r="AQ55" s="17">
        <f>AP55*AP42</f>
        <v>1.7650000000000001</v>
      </c>
      <c r="AR55" s="11"/>
      <c r="AS55" s="12"/>
      <c r="AT55" s="11">
        <v>5.7000000000000002E-2</v>
      </c>
      <c r="AU55" s="17">
        <f>AT55*AT42</f>
        <v>35.795999999999999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4.3680000000000003</v>
      </c>
      <c r="BH55" s="11"/>
      <c r="BI55" s="12"/>
      <c r="BJ55" s="11">
        <v>4.0062067577358751E-2</v>
      </c>
      <c r="BK55" s="12">
        <v>764.70474591662389</v>
      </c>
    </row>
    <row r="56" spans="1:63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6.3231850117095922E-2</v>
      </c>
      <c r="Y56" s="8">
        <v>155.99297423887563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8.1723058591196378E-3</v>
      </c>
      <c r="BK56" s="8">
        <v>155.99297423887563</v>
      </c>
    </row>
    <row r="57" spans="1:63" x14ac:dyDescent="0.3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4.6951322387399248E-2</v>
      </c>
      <c r="AG57" s="8">
        <v>131.5576053294927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6.8921628944621071E-3</v>
      </c>
      <c r="BK57" s="8">
        <v>131.5576053294927</v>
      </c>
    </row>
    <row r="58" spans="1:63" ht="58" x14ac:dyDescent="0.3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0.29845490780235073</v>
      </c>
      <c r="BK58" s="8">
        <v>5696.9072801312705</v>
      </c>
    </row>
    <row r="59" spans="1:63" ht="43.5" x14ac:dyDescent="0.3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0.13317513502474643</v>
      </c>
      <c r="BK59" s="8">
        <v>2542.0469773523596</v>
      </c>
    </row>
    <row r="60" spans="1:63" x14ac:dyDescent="0.35">
      <c r="A60" s="6" t="s">
        <v>204</v>
      </c>
      <c r="B60" s="13">
        <v>0.46375462873948481</v>
      </c>
      <c r="C60" s="14">
        <v>76.983268370754473</v>
      </c>
      <c r="D60" s="13">
        <v>0.85772075510954082</v>
      </c>
      <c r="E60" s="14">
        <v>14.581252836862195</v>
      </c>
      <c r="F60" s="13">
        <v>0.88916147128041523</v>
      </c>
      <c r="G60" s="14">
        <v>138.70918951974477</v>
      </c>
      <c r="H60" s="13">
        <v>0.56912725720501545</v>
      </c>
      <c r="I60" s="14">
        <v>273.18108345840744</v>
      </c>
      <c r="J60" s="13">
        <v>0.48157279792176788</v>
      </c>
      <c r="K60" s="14">
        <v>203.22372072298606</v>
      </c>
      <c r="L60" s="13">
        <v>0.5377086352724485</v>
      </c>
      <c r="M60" s="14">
        <v>1214.6838070804611</v>
      </c>
      <c r="N60" s="13">
        <v>0.90931746031746041</v>
      </c>
      <c r="O60" s="14">
        <v>57.287000000000006</v>
      </c>
      <c r="P60" s="13">
        <v>0.46989251562751944</v>
      </c>
      <c r="Q60" s="14">
        <v>150.36560500080623</v>
      </c>
      <c r="R60" s="13">
        <v>0.32201710187982246</v>
      </c>
      <c r="S60" s="14">
        <v>163.58468775494981</v>
      </c>
      <c r="T60" s="13">
        <v>0.15495555293410945</v>
      </c>
      <c r="U60" s="14">
        <v>6.5081332232325968</v>
      </c>
      <c r="V60" s="13">
        <v>0.7504042163482324</v>
      </c>
      <c r="W60" s="14">
        <v>117.06305775032425</v>
      </c>
      <c r="X60" s="13">
        <v>0.80799964673960278</v>
      </c>
      <c r="Y60" s="14">
        <v>1993.3351285066001</v>
      </c>
      <c r="Z60" s="13">
        <v>0.94399999999999995</v>
      </c>
      <c r="AA60" s="14">
        <v>117.056</v>
      </c>
      <c r="AB60" s="13">
        <v>0.86100847171000827</v>
      </c>
      <c r="AC60" s="14">
        <v>0</v>
      </c>
      <c r="AD60" s="13">
        <v>1</v>
      </c>
      <c r="AE60" s="14">
        <v>3</v>
      </c>
      <c r="AF60" s="13">
        <v>0.22918415596276431</v>
      </c>
      <c r="AG60" s="14">
        <v>642.17400500766564</v>
      </c>
      <c r="AH60" s="13">
        <v>0.68799999999999994</v>
      </c>
      <c r="AI60" s="14">
        <v>55.039999999999992</v>
      </c>
      <c r="AJ60" s="13">
        <v>0.75</v>
      </c>
      <c r="AK60" s="14">
        <v>4.5</v>
      </c>
      <c r="AL60" s="13">
        <v>0.99768903118899444</v>
      </c>
      <c r="AM60" s="14">
        <v>148.65566564716016</v>
      </c>
      <c r="AN60" s="13">
        <v>0.3008915363357767</v>
      </c>
      <c r="AO60" s="14">
        <v>145.33061205018015</v>
      </c>
      <c r="AP60" s="13">
        <v>0.11224163783487673</v>
      </c>
      <c r="AQ60" s="14">
        <v>39.621298155711486</v>
      </c>
      <c r="AR60" s="13">
        <v>0.63300000000000001</v>
      </c>
      <c r="AS60" s="14">
        <v>17.724</v>
      </c>
      <c r="AT60" s="13">
        <v>0.51858135058918564</v>
      </c>
      <c r="AU60" s="14">
        <v>325.66908817000859</v>
      </c>
      <c r="AV60" s="13">
        <v>0.31546779436397332</v>
      </c>
      <c r="AW60" s="14">
        <v>178.87023940437288</v>
      </c>
      <c r="AX60" s="13">
        <v>8.0528101021561271E-2</v>
      </c>
      <c r="AY60" s="14">
        <v>9.2607316174795464</v>
      </c>
      <c r="AZ60" s="13">
        <v>0.11392607865717541</v>
      </c>
      <c r="BA60" s="14">
        <v>32.810710653266518</v>
      </c>
      <c r="BB60" s="13">
        <v>0.41579831932773115</v>
      </c>
      <c r="BC60" s="14">
        <v>49.480000000000004</v>
      </c>
      <c r="BD60" s="13">
        <v>3.3968759828950312E-2</v>
      </c>
      <c r="BE60" s="14">
        <v>21.706037530699248</v>
      </c>
      <c r="BF60" s="13">
        <v>0.11527206076812613</v>
      </c>
      <c r="BG60" s="14">
        <v>71.929765919310711</v>
      </c>
      <c r="BH60" s="13">
        <v>2.0467957756876376E-2</v>
      </c>
      <c r="BI60" s="14">
        <v>16.59951374082674</v>
      </c>
      <c r="BJ60" s="13">
        <v>0.37758765600693089</v>
      </c>
      <c r="BK60" s="14">
        <v>7207.3931778602973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K60"/>
  <sheetViews>
    <sheetView zoomScale="80" zoomScaleNormal="80" workbookViewId="0"/>
  </sheetViews>
  <sheetFormatPr defaultRowHeight="14.5" x14ac:dyDescent="0.35"/>
  <cols>
    <col min="1" max="1" width="26.54296875" customWidth="1"/>
  </cols>
  <sheetData>
    <row r="1" spans="1:63" s="15" customFormat="1" ht="63" customHeight="1" x14ac:dyDescent="0.35">
      <c r="A1" s="1" t="s">
        <v>25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35">
      <c r="A3" s="2" t="s">
        <v>5</v>
      </c>
      <c r="B3" s="65">
        <v>41</v>
      </c>
      <c r="C3" s="65"/>
      <c r="D3" s="65">
        <v>5</v>
      </c>
      <c r="E3" s="65"/>
      <c r="F3" s="65">
        <v>72</v>
      </c>
      <c r="G3" s="65"/>
      <c r="H3" s="65">
        <v>129</v>
      </c>
      <c r="I3" s="65"/>
      <c r="J3" s="65">
        <v>136</v>
      </c>
      <c r="K3" s="65"/>
      <c r="L3" s="65">
        <v>637</v>
      </c>
      <c r="M3" s="65"/>
      <c r="N3" s="65">
        <v>6</v>
      </c>
      <c r="O3" s="65"/>
      <c r="P3" s="65">
        <v>80</v>
      </c>
      <c r="Q3" s="65"/>
      <c r="R3" s="65">
        <v>146</v>
      </c>
      <c r="S3" s="65"/>
      <c r="T3" s="65">
        <v>1</v>
      </c>
      <c r="U3" s="65"/>
      <c r="V3" s="65">
        <v>69</v>
      </c>
      <c r="W3" s="65"/>
      <c r="X3" s="65">
        <v>671</v>
      </c>
      <c r="Y3" s="65"/>
      <c r="Z3" s="65">
        <v>36</v>
      </c>
      <c r="AA3" s="65"/>
      <c r="AB3" s="65">
        <v>209</v>
      </c>
      <c r="AC3" s="65"/>
      <c r="AD3" s="65">
        <v>3</v>
      </c>
      <c r="AE3" s="65"/>
      <c r="AF3" s="65"/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20</v>
      </c>
      <c r="AS3" s="65"/>
      <c r="AT3" s="65">
        <v>144</v>
      </c>
      <c r="AU3" s="65"/>
      <c r="AV3" s="65">
        <v>228</v>
      </c>
      <c r="AW3" s="65"/>
      <c r="AX3" s="65">
        <v>23</v>
      </c>
      <c r="AY3" s="65"/>
      <c r="AZ3" s="65">
        <v>78</v>
      </c>
      <c r="BA3" s="65"/>
      <c r="BB3" s="65">
        <v>35</v>
      </c>
      <c r="BC3" s="65"/>
      <c r="BD3" s="65">
        <v>178</v>
      </c>
      <c r="BE3" s="65"/>
      <c r="BF3" s="65">
        <v>120</v>
      </c>
      <c r="BG3" s="65"/>
      <c r="BH3" s="65">
        <v>176</v>
      </c>
      <c r="BI3" s="65"/>
      <c r="BJ3" s="65">
        <v>4650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0.17650693050990199</v>
      </c>
      <c r="C5" s="8">
        <v>7.236784150905982</v>
      </c>
      <c r="D5" s="7">
        <v>0.27851016798959466</v>
      </c>
      <c r="E5" s="8">
        <v>1.3925508399479734</v>
      </c>
      <c r="F5" s="7">
        <v>0.39514638851817624</v>
      </c>
      <c r="G5" s="8">
        <v>28.45053997330869</v>
      </c>
      <c r="H5" s="7">
        <v>0.29865926529148262</v>
      </c>
      <c r="I5" s="8">
        <v>38.527045222601259</v>
      </c>
      <c r="J5" s="7">
        <v>0.19660801176355791</v>
      </c>
      <c r="K5" s="8">
        <v>26.738689599843877</v>
      </c>
      <c r="L5" s="7">
        <v>6.7033366521959944E-2</v>
      </c>
      <c r="M5" s="8">
        <v>42.700254474488482</v>
      </c>
      <c r="N5" s="7"/>
      <c r="O5" s="8"/>
      <c r="P5" s="7">
        <v>0.22352845320934644</v>
      </c>
      <c r="Q5" s="8">
        <v>17.882276256747716</v>
      </c>
      <c r="R5" s="7">
        <v>0.24253931687049077</v>
      </c>
      <c r="S5" s="8">
        <v>35.410740263091654</v>
      </c>
      <c r="T5" s="7"/>
      <c r="U5" s="8"/>
      <c r="V5" s="7">
        <v>0.64868987918805066</v>
      </c>
      <c r="W5" s="8">
        <v>44.759601663975495</v>
      </c>
      <c r="X5" s="7">
        <v>0.73116979396713</v>
      </c>
      <c r="Y5" s="8">
        <v>490.6149317519442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0.43647978694063416</v>
      </c>
      <c r="AU5" s="8">
        <v>62.853089319451321</v>
      </c>
      <c r="AV5" s="7">
        <v>0.1307011471774055</v>
      </c>
      <c r="AW5" s="8">
        <v>29.799861556448455</v>
      </c>
      <c r="AX5" s="7"/>
      <c r="AY5" s="8"/>
      <c r="AZ5" s="7"/>
      <c r="BA5" s="8"/>
      <c r="BB5" s="7"/>
      <c r="BC5" s="8"/>
      <c r="BD5" s="7"/>
      <c r="BE5" s="8"/>
      <c r="BF5" s="7">
        <v>3.0125259501154709E-2</v>
      </c>
      <c r="BG5" s="8">
        <v>3.6150311401385653</v>
      </c>
      <c r="BH5" s="7"/>
      <c r="BI5" s="8"/>
      <c r="BJ5" s="7">
        <v>0.17849062284148254</v>
      </c>
      <c r="BK5" s="8">
        <v>829.98139621289374</v>
      </c>
    </row>
    <row r="6" spans="1:63" x14ac:dyDescent="0.35">
      <c r="A6" s="6" t="s">
        <v>10</v>
      </c>
      <c r="B6" s="7">
        <v>0.41968072975404763</v>
      </c>
      <c r="C6" s="8">
        <v>42.807434434912857</v>
      </c>
      <c r="D6" s="7"/>
      <c r="E6" s="8"/>
      <c r="F6" s="7">
        <v>0.42769220925237622</v>
      </c>
      <c r="G6" s="8">
        <v>30.793839066171088</v>
      </c>
      <c r="H6" s="7">
        <v>9.643541763066657E-2</v>
      </c>
      <c r="I6" s="8">
        <v>12.440168874355988</v>
      </c>
      <c r="J6" s="7"/>
      <c r="K6" s="8"/>
      <c r="L6" s="7">
        <v>8.3271120413217284E-2</v>
      </c>
      <c r="M6" s="8">
        <v>53.043703703219407</v>
      </c>
      <c r="N6" s="7"/>
      <c r="O6" s="8"/>
      <c r="P6" s="7">
        <v>9.6099496888535391E-2</v>
      </c>
      <c r="Q6" s="8">
        <v>7.6879597510828308</v>
      </c>
      <c r="R6" s="7"/>
      <c r="S6" s="8"/>
      <c r="T6" s="7"/>
      <c r="U6" s="8"/>
      <c r="V6" s="7">
        <v>0.24323176205334113</v>
      </c>
      <c r="W6" s="8">
        <v>16.782991581680538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3.5173354282026399E-2</v>
      </c>
      <c r="BK6" s="8">
        <v>163.55609741142274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0.17612275871085348</v>
      </c>
      <c r="M7" s="10">
        <v>112.19019729881367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2.412692415028251E-2</v>
      </c>
      <c r="BK7" s="10">
        <v>112.19019729881367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0.26865471073302488</v>
      </c>
      <c r="M8" s="10">
        <v>171.13305073693687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3.6802806610093948E-2</v>
      </c>
      <c r="BK8" s="10">
        <v>171.13305073693687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0.27761694542345328</v>
      </c>
      <c r="I9" s="10">
        <v>35.812585959625473</v>
      </c>
      <c r="J9" s="9">
        <v>6.8758738320268215E-2</v>
      </c>
      <c r="K9" s="10">
        <v>9.3511884115564765</v>
      </c>
      <c r="L9" s="9">
        <v>0.15562930029540567</v>
      </c>
      <c r="M9" s="10">
        <v>99.135864288173408</v>
      </c>
      <c r="N9" s="9"/>
      <c r="O9" s="10"/>
      <c r="P9" s="9">
        <v>0.23994865252730652</v>
      </c>
      <c r="Q9" s="10">
        <v>19.19589220218452</v>
      </c>
      <c r="R9" s="9">
        <v>0.14138372339597485</v>
      </c>
      <c r="S9" s="10">
        <v>20.642023615812327</v>
      </c>
      <c r="T9" s="9">
        <v>0.12724733810438116</v>
      </c>
      <c r="U9" s="10">
        <v>0.12724733810438116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0.21376966378100673</v>
      </c>
      <c r="AW9" s="10">
        <v>48.739483342069533</v>
      </c>
      <c r="AX9" s="9">
        <v>0.10557186934166814</v>
      </c>
      <c r="AY9" s="10">
        <v>2.4281529948583671</v>
      </c>
      <c r="AZ9" s="9">
        <v>0.16276853707761235</v>
      </c>
      <c r="BA9" s="10">
        <v>12.695945892053762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5.3360942805255537E-2</v>
      </c>
      <c r="BK9" s="10">
        <v>248.12838404443826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4.2223864655195245E-2</v>
      </c>
      <c r="M10" s="10">
        <v>26.896601785359373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5.7842154377116929E-3</v>
      </c>
      <c r="BK10" s="10">
        <v>26.896601785359373</v>
      </c>
    </row>
    <row r="11" spans="1:63" x14ac:dyDescent="0.35">
      <c r="A11" s="6" t="s">
        <v>12</v>
      </c>
      <c r="B11" s="7">
        <v>1.2800000000000001E-2</v>
      </c>
      <c r="C11" s="8">
        <v>1.3056000000000001</v>
      </c>
      <c r="D11" s="7">
        <v>0.8</v>
      </c>
      <c r="E11" s="8">
        <v>4</v>
      </c>
      <c r="F11" s="7">
        <v>0.72399999999999998</v>
      </c>
      <c r="G11" s="8">
        <v>52.128</v>
      </c>
      <c r="H11" s="7"/>
      <c r="I11" s="8"/>
      <c r="J11" s="7">
        <v>0.5299462976071273</v>
      </c>
      <c r="K11" s="8">
        <v>72.072696474569312</v>
      </c>
      <c r="L11" s="7"/>
      <c r="M11" s="8"/>
      <c r="N11" s="7">
        <v>0.88700000000000001</v>
      </c>
      <c r="O11" s="8">
        <v>5.3220000000000001</v>
      </c>
      <c r="P11" s="7">
        <v>7.8108240493630493E-2</v>
      </c>
      <c r="Q11" s="8">
        <v>6.2486592394904399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3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12.66</v>
      </c>
      <c r="AT11" s="7"/>
      <c r="AU11" s="8"/>
      <c r="AV11" s="7"/>
      <c r="AW11" s="8"/>
      <c r="AX11" s="7"/>
      <c r="AY11" s="8"/>
      <c r="AZ11" s="7"/>
      <c r="BA11" s="8"/>
      <c r="BB11" s="7">
        <v>0.41828571428571432</v>
      </c>
      <c r="BC11" s="8">
        <v>14.64</v>
      </c>
      <c r="BD11" s="7">
        <v>3.8621309432578924E-2</v>
      </c>
      <c r="BE11" s="8">
        <v>6.7973504601338908</v>
      </c>
      <c r="BF11" s="7"/>
      <c r="BG11" s="8"/>
      <c r="BH11" s="7"/>
      <c r="BI11" s="8"/>
      <c r="BJ11" s="7">
        <v>3.8317082044901848E-2</v>
      </c>
      <c r="BK11" s="8">
        <v>178.17443150879359</v>
      </c>
    </row>
    <row r="12" spans="1:63" x14ac:dyDescent="0.35">
      <c r="A12" s="6" t="s">
        <v>13</v>
      </c>
      <c r="B12" s="9">
        <v>1.437105540999073E-3</v>
      </c>
      <c r="C12" s="10">
        <v>0.14658476518190544</v>
      </c>
      <c r="D12" s="9"/>
      <c r="E12" s="10"/>
      <c r="F12" s="9"/>
      <c r="G12" s="10"/>
      <c r="H12" s="9">
        <v>3.4153886251632156E-3</v>
      </c>
      <c r="I12" s="10">
        <v>0.44058513264605481</v>
      </c>
      <c r="J12" s="9">
        <v>4.2716209338112786E-3</v>
      </c>
      <c r="K12" s="10">
        <v>0.58094044699833391</v>
      </c>
      <c r="L12" s="9">
        <v>1.2075551708586969E-2</v>
      </c>
      <c r="M12" s="10">
        <v>7.6921264383698995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4.0198200616020467E-2</v>
      </c>
      <c r="Y12" s="10">
        <v>26.972992613349732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2.0982258861753294E-2</v>
      </c>
      <c r="AU12" s="10">
        <v>3.0214452760924742</v>
      </c>
      <c r="AV12" s="9"/>
      <c r="AW12" s="10"/>
      <c r="AX12" s="9">
        <v>4.4553202099004673E-3</v>
      </c>
      <c r="AY12" s="10">
        <v>0.10247236482771074</v>
      </c>
      <c r="AZ12" s="9"/>
      <c r="BA12" s="10"/>
      <c r="BB12" s="9"/>
      <c r="BC12" s="10"/>
      <c r="BD12" s="9"/>
      <c r="BE12" s="10"/>
      <c r="BF12" s="9">
        <v>9.4004982354004243E-2</v>
      </c>
      <c r="BG12" s="10">
        <v>11.280597882480508</v>
      </c>
      <c r="BH12" s="9">
        <v>4.9525010561601857E-4</v>
      </c>
      <c r="BI12" s="10">
        <v>8.7164018588419268E-2</v>
      </c>
      <c r="BJ12" s="9">
        <v>1.7173334104820605E-2</v>
      </c>
      <c r="BK12" s="8">
        <v>79.856003587415813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0.83481162689692989</v>
      </c>
      <c r="AC13" s="10">
        <v>174.47563002145836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3.7521640864829751E-2</v>
      </c>
      <c r="BK13" s="10">
        <v>174.47563002145836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0.03</v>
      </c>
      <c r="F14" s="11"/>
      <c r="G14" s="17"/>
      <c r="H14" s="11">
        <v>3.3000000000000002E-2</v>
      </c>
      <c r="I14" s="17">
        <f>H14*H3</f>
        <v>4.2570000000000006</v>
      </c>
      <c r="J14" s="11">
        <v>0.03</v>
      </c>
      <c r="K14" s="17">
        <f>J14*J3</f>
        <v>4.08</v>
      </c>
      <c r="L14" s="11"/>
      <c r="M14" s="12"/>
      <c r="N14" s="11"/>
      <c r="O14" s="12"/>
      <c r="P14" s="11">
        <v>3.0000000000000001E-3</v>
      </c>
      <c r="Q14" s="17">
        <f>P14*P3</f>
        <v>0.24</v>
      </c>
      <c r="R14" s="11">
        <v>2.0000000000000001E-4</v>
      </c>
      <c r="S14" s="17">
        <f>R14*R3</f>
        <v>2.92E-2</v>
      </c>
      <c r="T14" s="11"/>
      <c r="U14" s="12"/>
      <c r="V14" s="11">
        <v>2.9000000000000001E-2</v>
      </c>
      <c r="W14" s="17">
        <f>V14*V3</f>
        <v>2.0009999999999999</v>
      </c>
      <c r="X14" s="11">
        <v>0.20499999999999999</v>
      </c>
      <c r="Y14" s="17">
        <f>X14*X3</f>
        <v>137.55499999999998</v>
      </c>
      <c r="Z14" s="11">
        <v>0.97</v>
      </c>
      <c r="AA14" s="17">
        <f>Z14*Z3</f>
        <v>34.92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10.223999999999998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1.0799999999999998</v>
      </c>
      <c r="BH14" s="11"/>
      <c r="BI14" s="12"/>
      <c r="BJ14" s="11">
        <v>5.0328369583645997E-2</v>
      </c>
      <c r="BK14" s="12">
        <v>234.0269185639539</v>
      </c>
    </row>
    <row r="15" spans="1:63" x14ac:dyDescent="0.3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5.6069473286766001E-2</v>
      </c>
      <c r="Y15" s="8">
        <v>37.62261657541999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8.0908852850365576E-3</v>
      </c>
      <c r="BK15" s="8">
        <v>37.62261657541999</v>
      </c>
    </row>
    <row r="16" spans="1:63" ht="58" x14ac:dyDescent="0.3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0.32512023823303327</v>
      </c>
      <c r="BK16" s="8">
        <v>1511.8091077836048</v>
      </c>
    </row>
    <row r="17" spans="1:63" ht="43.5" x14ac:dyDescent="0.3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0.14646191082929438</v>
      </c>
      <c r="BK17" s="8">
        <v>681.0478853562189</v>
      </c>
    </row>
    <row r="18" spans="1:63" x14ac:dyDescent="0.35">
      <c r="A18" s="6" t="s">
        <v>204</v>
      </c>
      <c r="B18" s="13">
        <v>0.52890606678353747</v>
      </c>
      <c r="C18" s="14">
        <v>21.685148738125037</v>
      </c>
      <c r="D18" s="13">
        <v>0.85656782139633147</v>
      </c>
      <c r="E18" s="14">
        <v>4.2828391069816574</v>
      </c>
      <c r="F18" s="13">
        <v>0.90445916818484395</v>
      </c>
      <c r="G18" s="14">
        <v>65.121060109308758</v>
      </c>
      <c r="H18" s="13">
        <v>0.55883965875807751</v>
      </c>
      <c r="I18" s="14">
        <v>72.090315979791995</v>
      </c>
      <c r="J18" s="13">
        <v>0.66033577757113027</v>
      </c>
      <c r="K18" s="14">
        <v>89.805665749673722</v>
      </c>
      <c r="L18" s="13">
        <v>0.58826963353360462</v>
      </c>
      <c r="M18" s="14">
        <v>374.72775656090613</v>
      </c>
      <c r="N18" s="13">
        <v>0.88700000000000001</v>
      </c>
      <c r="O18" s="14">
        <v>5.3220000000000001</v>
      </c>
      <c r="P18" s="13">
        <v>0.50969739726967978</v>
      </c>
      <c r="Q18" s="14">
        <v>40.775791781574384</v>
      </c>
      <c r="R18" s="13">
        <v>0.34976200219168396</v>
      </c>
      <c r="S18" s="14">
        <v>51.065252319985859</v>
      </c>
      <c r="T18" s="13">
        <v>0.12724733810438116</v>
      </c>
      <c r="U18" s="14">
        <v>0.12724733810438116</v>
      </c>
      <c r="V18" s="13">
        <v>0.74184960879220418</v>
      </c>
      <c r="W18" s="14">
        <v>51.187623006662086</v>
      </c>
      <c r="X18" s="13">
        <v>0.80637261298291851</v>
      </c>
      <c r="Y18" s="14">
        <v>541.07602331153828</v>
      </c>
      <c r="Z18" s="13">
        <v>0.97</v>
      </c>
      <c r="AA18" s="14">
        <v>34.92</v>
      </c>
      <c r="AB18" s="13">
        <v>0.83481162689692989</v>
      </c>
      <c r="AC18" s="14">
        <v>174.47563002145836</v>
      </c>
      <c r="AD18" s="13">
        <v>1</v>
      </c>
      <c r="AE18" s="14">
        <v>3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12.66</v>
      </c>
      <c r="AT18" s="13">
        <v>0.48747415023620988</v>
      </c>
      <c r="AU18" s="14">
        <v>70.196277634014223</v>
      </c>
      <c r="AV18" s="13">
        <v>0.31653087067050645</v>
      </c>
      <c r="AW18" s="14">
        <v>72.169038512875474</v>
      </c>
      <c r="AX18" s="13">
        <v>0.10955683306849373</v>
      </c>
      <c r="AY18" s="14">
        <v>2.5198071605753558</v>
      </c>
      <c r="AZ18" s="13">
        <v>0.16276853707761241</v>
      </c>
      <c r="BA18" s="14">
        <v>12.695945892053768</v>
      </c>
      <c r="BB18" s="13">
        <v>0.41828571428571437</v>
      </c>
      <c r="BC18" s="14">
        <v>14.640000000000002</v>
      </c>
      <c r="BD18" s="13">
        <v>3.862130943257891E-2</v>
      </c>
      <c r="BE18" s="14">
        <v>6.8745930789990464</v>
      </c>
      <c r="BF18" s="13">
        <v>0.12920663251103703</v>
      </c>
      <c r="BG18" s="14">
        <v>15.504795901324444</v>
      </c>
      <c r="BH18" s="13">
        <v>4.9525010561601857E-4</v>
      </c>
      <c r="BI18" s="14">
        <v>8.7164018588419268E-2</v>
      </c>
      <c r="BJ18" s="13">
        <v>0.39912991410021104</v>
      </c>
      <c r="BK18" s="14">
        <v>1855.9541005659812</v>
      </c>
    </row>
    <row r="19" spans="1:63" s="15" customFormat="1" ht="63" customHeight="1" x14ac:dyDescent="0.35">
      <c r="A19" s="1" t="s">
        <v>25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41</v>
      </c>
      <c r="C21" s="65"/>
      <c r="D21" s="65">
        <v>1</v>
      </c>
      <c r="E21" s="65"/>
      <c r="F21" s="65">
        <v>23</v>
      </c>
      <c r="G21" s="65"/>
      <c r="H21" s="65">
        <v>75</v>
      </c>
      <c r="I21" s="65"/>
      <c r="J21" s="65">
        <v>64</v>
      </c>
      <c r="K21" s="65"/>
      <c r="L21" s="65">
        <v>484</v>
      </c>
      <c r="M21" s="65"/>
      <c r="N21" s="65">
        <v>16</v>
      </c>
      <c r="O21" s="65"/>
      <c r="P21" s="65">
        <v>54</v>
      </c>
      <c r="Q21" s="65"/>
      <c r="R21" s="65">
        <v>127</v>
      </c>
      <c r="S21" s="65"/>
      <c r="T21" s="65">
        <v>19</v>
      </c>
      <c r="U21" s="65"/>
      <c r="V21" s="65">
        <v>15</v>
      </c>
      <c r="W21" s="65"/>
      <c r="X21" s="65">
        <v>569</v>
      </c>
      <c r="Y21" s="65"/>
      <c r="Z21" s="65">
        <v>6</v>
      </c>
      <c r="AA21" s="65"/>
      <c r="AB21" s="65">
        <v>193</v>
      </c>
      <c r="AC21" s="65"/>
      <c r="AD21" s="65">
        <v>1</v>
      </c>
      <c r="AE21" s="65"/>
      <c r="AF21" s="65">
        <v>1456</v>
      </c>
      <c r="AG21" s="65"/>
      <c r="AH21" s="65">
        <v>37</v>
      </c>
      <c r="AI21" s="65"/>
      <c r="AJ21" s="65">
        <v>8</v>
      </c>
      <c r="AK21" s="65"/>
      <c r="AL21" s="65">
        <v>81</v>
      </c>
      <c r="AM21" s="65"/>
      <c r="AN21" s="65">
        <v>248</v>
      </c>
      <c r="AO21" s="65"/>
      <c r="AP21" s="65">
        <v>135</v>
      </c>
      <c r="AQ21" s="65"/>
      <c r="AR21" s="65" t="s">
        <v>6</v>
      </c>
      <c r="AS21" s="65"/>
      <c r="AT21" s="65">
        <v>69</v>
      </c>
      <c r="AU21" s="65"/>
      <c r="AV21" s="65">
        <v>119</v>
      </c>
      <c r="AW21" s="65"/>
      <c r="AX21" s="65">
        <v>54</v>
      </c>
      <c r="AY21" s="65"/>
      <c r="AZ21" s="65">
        <v>65</v>
      </c>
      <c r="BA21" s="65"/>
      <c r="BB21" s="65">
        <v>27</v>
      </c>
      <c r="BC21" s="65"/>
      <c r="BD21" s="65">
        <v>147</v>
      </c>
      <c r="BE21" s="65"/>
      <c r="BF21" s="65">
        <v>105</v>
      </c>
      <c r="BG21" s="65"/>
      <c r="BH21" s="65">
        <v>195</v>
      </c>
      <c r="BI21" s="65"/>
      <c r="BJ21" s="65">
        <v>4606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0.15707534606995732</v>
      </c>
      <c r="C23" s="8">
        <v>6.4400891888682503</v>
      </c>
      <c r="D23" s="7">
        <v>0.23071005461958616</v>
      </c>
      <c r="E23" s="8">
        <v>0.23071005461958616</v>
      </c>
      <c r="F23" s="7">
        <v>0.32483666557005242</v>
      </c>
      <c r="G23" s="8">
        <v>7.4712433081112062</v>
      </c>
      <c r="H23" s="7">
        <v>0.31029843001593121</v>
      </c>
      <c r="I23" s="8">
        <v>23.272382251194841</v>
      </c>
      <c r="J23" s="7">
        <v>3.3171579157527262E-2</v>
      </c>
      <c r="K23" s="8">
        <v>2.1229810660817447</v>
      </c>
      <c r="L23" s="7">
        <v>4.0795005657320721E-2</v>
      </c>
      <c r="M23" s="8">
        <v>19.744782738143229</v>
      </c>
      <c r="N23" s="7"/>
      <c r="O23" s="8"/>
      <c r="P23" s="7">
        <v>0.12839000129220401</v>
      </c>
      <c r="Q23" s="8">
        <v>6.9330600697790175</v>
      </c>
      <c r="R23" s="7">
        <v>0.19116030192514619</v>
      </c>
      <c r="S23" s="8">
        <v>24.277358344493567</v>
      </c>
      <c r="T23" s="7"/>
      <c r="U23" s="8"/>
      <c r="V23" s="7">
        <v>0.57039222582710991</v>
      </c>
      <c r="W23" s="8">
        <v>8.5558833874066487</v>
      </c>
      <c r="X23" s="7">
        <v>0.6341256333409292</v>
      </c>
      <c r="Y23" s="8">
        <v>360.81748537098872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0.22277684438388975</v>
      </c>
      <c r="AM23" s="8">
        <v>18.04492439509507</v>
      </c>
      <c r="AN23" s="7"/>
      <c r="AO23" s="8"/>
      <c r="AP23" s="7">
        <v>2.5719852917306465E-2</v>
      </c>
      <c r="AQ23" s="8">
        <v>3.4721801438363729</v>
      </c>
      <c r="AR23" s="7"/>
      <c r="AS23" s="8"/>
      <c r="AT23" s="7">
        <v>0.34656056291047338</v>
      </c>
      <c r="AU23" s="8">
        <v>23.912678840822664</v>
      </c>
      <c r="AV23" s="7">
        <v>8.5103034508085165E-2</v>
      </c>
      <c r="AW23" s="8">
        <v>10.127261106462134</v>
      </c>
      <c r="AX23" s="7"/>
      <c r="AY23" s="8"/>
      <c r="AZ23" s="7"/>
      <c r="BA23" s="8"/>
      <c r="BB23" s="7"/>
      <c r="BC23" s="8"/>
      <c r="BD23" s="7"/>
      <c r="BE23" s="8"/>
      <c r="BF23" s="7">
        <v>2.9940676743108959E-2</v>
      </c>
      <c r="BG23" s="8">
        <v>3.1437710580264406</v>
      </c>
      <c r="BH23" s="7"/>
      <c r="BI23" s="8"/>
      <c r="BJ23" s="7">
        <v>0.11258506107770939</v>
      </c>
      <c r="BK23" s="8">
        <v>518.56679132392946</v>
      </c>
    </row>
    <row r="24" spans="1:63" x14ac:dyDescent="0.35">
      <c r="A24" s="6" t="s">
        <v>10</v>
      </c>
      <c r="B24" s="7">
        <v>0.18583976501216679</v>
      </c>
      <c r="C24" s="8">
        <v>7.6194303654988387</v>
      </c>
      <c r="D24" s="7"/>
      <c r="E24" s="8"/>
      <c r="F24" s="7">
        <v>0.20977388764571617</v>
      </c>
      <c r="G24" s="8">
        <v>4.824799415851472</v>
      </c>
      <c r="H24" s="7">
        <v>0.19281780812901478</v>
      </c>
      <c r="I24" s="8">
        <v>14.461335609676109</v>
      </c>
      <c r="J24" s="7"/>
      <c r="K24" s="8"/>
      <c r="L24" s="7">
        <v>3.6600508871713483E-2</v>
      </c>
      <c r="M24" s="8">
        <v>17.714646293909325</v>
      </c>
      <c r="N24" s="7"/>
      <c r="O24" s="8"/>
      <c r="P24" s="7">
        <v>1.3879366914831645E-2</v>
      </c>
      <c r="Q24" s="8">
        <v>0.74948581340090881</v>
      </c>
      <c r="R24" s="7"/>
      <c r="S24" s="8"/>
      <c r="T24" s="7"/>
      <c r="U24" s="8"/>
      <c r="V24" s="7">
        <v>0.12485210777589091</v>
      </c>
      <c r="W24" s="8">
        <v>1.8727816166383637</v>
      </c>
      <c r="X24" s="7"/>
      <c r="Y24" s="8"/>
      <c r="Z24" s="7"/>
      <c r="AA24" s="8"/>
      <c r="AB24" s="7"/>
      <c r="AC24" s="8"/>
      <c r="AD24" s="7"/>
      <c r="AE24" s="8"/>
      <c r="AF24" s="7">
        <v>7.9684009943928186E-2</v>
      </c>
      <c r="AG24" s="8">
        <v>116.01991847835943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3.5445592182660537E-2</v>
      </c>
      <c r="BK24" s="8">
        <v>163.26239759333444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9.6059365313669626E-2</v>
      </c>
      <c r="M25" s="10">
        <v>46.492732811816097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1.0093949807168063E-2</v>
      </c>
      <c r="BK25" s="10">
        <v>46.492732811816097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0.33322475495270637</v>
      </c>
      <c r="M26" s="10">
        <v>161.28078139710988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3.5015367216046436E-2</v>
      </c>
      <c r="BK26" s="10">
        <v>161.28078139710988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0.17497090578540253</v>
      </c>
      <c r="I27" s="10">
        <v>13.122817933905189</v>
      </c>
      <c r="J27" s="9">
        <v>4.4897262387211492E-2</v>
      </c>
      <c r="K27" s="10">
        <v>2.8734247927815355</v>
      </c>
      <c r="L27" s="9">
        <v>6.3731044394116781E-2</v>
      </c>
      <c r="M27" s="10">
        <v>30.845825486752524</v>
      </c>
      <c r="N27" s="9"/>
      <c r="O27" s="10"/>
      <c r="P27" s="9">
        <v>0.21545234370563648</v>
      </c>
      <c r="Q27" s="10">
        <v>11.634426560104369</v>
      </c>
      <c r="R27" s="9">
        <v>9.7680564805159714E-2</v>
      </c>
      <c r="S27" s="10">
        <v>12.405431730255284</v>
      </c>
      <c r="T27" s="9">
        <v>0.21107370785275342</v>
      </c>
      <c r="U27" s="10">
        <v>4.0104004492023151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8.0742007706012336E-2</v>
      </c>
      <c r="AG27" s="10">
        <v>117.56036321995396</v>
      </c>
      <c r="AH27" s="9"/>
      <c r="AI27" s="10"/>
      <c r="AJ27" s="9"/>
      <c r="AK27" s="10"/>
      <c r="AL27" s="9"/>
      <c r="AM27" s="10"/>
      <c r="AN27" s="9">
        <v>0.28393122858976816</v>
      </c>
      <c r="AO27" s="10">
        <v>70.414944690262502</v>
      </c>
      <c r="AP27" s="9">
        <v>6.5793136497627761E-2</v>
      </c>
      <c r="AQ27" s="10">
        <v>8.8820734271797477</v>
      </c>
      <c r="AR27" s="9"/>
      <c r="AS27" s="10"/>
      <c r="AT27" s="9"/>
      <c r="AU27" s="10"/>
      <c r="AV27" s="9">
        <v>0.273631505493794</v>
      </c>
      <c r="AW27" s="10">
        <v>32.562149153761489</v>
      </c>
      <c r="AX27" s="9">
        <v>7.2672513978701073E-2</v>
      </c>
      <c r="AY27" s="10">
        <v>3.9243157548498582</v>
      </c>
      <c r="AZ27" s="9">
        <v>9.8523467741847143E-2</v>
      </c>
      <c r="BA27" s="10">
        <v>6.4040254032200643</v>
      </c>
      <c r="BB27" s="9"/>
      <c r="BC27" s="10"/>
      <c r="BD27" s="9"/>
      <c r="BE27" s="10"/>
      <c r="BF27" s="9"/>
      <c r="BG27" s="10"/>
      <c r="BH27" s="9">
        <v>4.8740717723259892E-2</v>
      </c>
      <c r="BI27" s="10"/>
      <c r="BJ27" s="9">
        <v>7.0374433034794737E-2</v>
      </c>
      <c r="BK27" s="10">
        <v>324.14463855826455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5.083307883521631E-2</v>
      </c>
      <c r="M28" s="10">
        <v>24.603210156244693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/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>
        <v>9.5044399560356787</v>
      </c>
      <c r="BJ28" s="9">
        <v>5.3415566991412708E-3</v>
      </c>
      <c r="BK28" s="10">
        <v>24.603210156244693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2.6239015050100237E-2</v>
      </c>
      <c r="AG29" s="8">
        <v>38.204005912945945</v>
      </c>
      <c r="AH29" s="7"/>
      <c r="AI29" s="8"/>
      <c r="AJ29" s="7"/>
      <c r="AK29" s="8"/>
      <c r="AL29" s="7"/>
      <c r="AM29" s="8"/>
      <c r="AN29" s="7"/>
      <c r="AO29" s="8"/>
      <c r="AP29" s="7">
        <v>3.4423917577061862E-2</v>
      </c>
      <c r="AQ29" s="8">
        <v>4.6472288729033515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9.3033510173359309E-3</v>
      </c>
      <c r="BK29" s="8">
        <v>42.8512347858493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1.1446159003580621E-2</v>
      </c>
      <c r="AG30" s="10">
        <v>16.665607509213384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6.53321022399462E-3</v>
      </c>
      <c r="BK30" s="8">
        <v>30.091966291719221</v>
      </c>
    </row>
    <row r="31" spans="1:63" x14ac:dyDescent="0.35">
      <c r="A31" s="6" t="s">
        <v>12</v>
      </c>
      <c r="B31" s="9">
        <v>1.2800000000000001E-2</v>
      </c>
      <c r="C31" s="10">
        <v>0.52480000000000004</v>
      </c>
      <c r="D31" s="9">
        <v>0.8</v>
      </c>
      <c r="E31" s="10">
        <v>0.8</v>
      </c>
      <c r="F31" s="9">
        <v>0.63300000000000001</v>
      </c>
      <c r="G31" s="10">
        <v>14.559000000000001</v>
      </c>
      <c r="H31" s="9"/>
      <c r="I31" s="10"/>
      <c r="J31" s="9">
        <v>0.60316990672684323</v>
      </c>
      <c r="K31" s="10">
        <v>38.602874030517967</v>
      </c>
      <c r="L31" s="9"/>
      <c r="M31" s="10"/>
      <c r="N31" s="9">
        <v>0.92500000000000004</v>
      </c>
      <c r="O31" s="10">
        <v>14.8</v>
      </c>
      <c r="P31" s="9">
        <v>6.3324199120906186E-2</v>
      </c>
      <c r="Q31" s="10">
        <v>3.419506752528934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</v>
      </c>
      <c r="AF31" s="9"/>
      <c r="AG31" s="10"/>
      <c r="AH31" s="9">
        <v>0.68799999999999994</v>
      </c>
      <c r="AI31" s="10">
        <v>25.456</v>
      </c>
      <c r="AJ31" s="9">
        <v>0.75</v>
      </c>
      <c r="AK31" s="10"/>
      <c r="AL31" s="9">
        <v>0.99700000000000011</v>
      </c>
      <c r="AM31" s="10">
        <v>80.757000000000005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0.37407407407407411</v>
      </c>
      <c r="BC31" s="10">
        <v>10.100000000000001</v>
      </c>
      <c r="BD31" s="9">
        <v>3.7712892997988863E-2</v>
      </c>
      <c r="BE31" s="10">
        <v>6.2980531306641403</v>
      </c>
      <c r="BF31" s="9"/>
      <c r="BG31" s="10"/>
      <c r="BH31" s="9"/>
      <c r="BI31" s="10"/>
      <c r="BJ31" s="9">
        <v>4.3924714266980247E-2</v>
      </c>
      <c r="BK31" s="10">
        <v>202.31723391371102</v>
      </c>
    </row>
    <row r="32" spans="1:63" x14ac:dyDescent="0.35">
      <c r="A32" s="6" t="s">
        <v>13</v>
      </c>
      <c r="B32" s="7">
        <v>1.437105540999073E-3</v>
      </c>
      <c r="C32" s="8">
        <v>5.8921327180961991E-2</v>
      </c>
      <c r="D32" s="7"/>
      <c r="E32" s="8"/>
      <c r="F32" s="7"/>
      <c r="G32" s="8"/>
      <c r="H32" s="7">
        <v>6.4153886251632156E-3</v>
      </c>
      <c r="I32" s="8">
        <v>0.48115414688724117</v>
      </c>
      <c r="J32" s="7">
        <v>9.2716209338112796E-3</v>
      </c>
      <c r="K32" s="8">
        <v>0.59338373976392189</v>
      </c>
      <c r="L32" s="7">
        <v>2.0191591611344956E-2</v>
      </c>
      <c r="M32" s="8">
        <v>9.7727303398909591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4.4036883266804133E-2</v>
      </c>
      <c r="Y32" s="8">
        <v>25.056986578811554</v>
      </c>
      <c r="Z32" s="7"/>
      <c r="AA32" s="8"/>
      <c r="AB32" s="7"/>
      <c r="AC32" s="8"/>
      <c r="AD32" s="7"/>
      <c r="AE32" s="8"/>
      <c r="AF32" s="7">
        <v>1.5148081702242484E-2</v>
      </c>
      <c r="AG32" s="8">
        <v>22.055606958465056</v>
      </c>
      <c r="AH32" s="7"/>
      <c r="AI32" s="8"/>
      <c r="AJ32" s="7"/>
      <c r="AK32" s="8">
        <v>6</v>
      </c>
      <c r="AL32" s="7"/>
      <c r="AM32" s="8"/>
      <c r="AN32" s="7"/>
      <c r="AO32" s="8"/>
      <c r="AP32" s="7"/>
      <c r="AQ32" s="8"/>
      <c r="AR32" s="7"/>
      <c r="AS32" s="8"/>
      <c r="AT32" s="7">
        <v>1.7982258861753295E-2</v>
      </c>
      <c r="AU32" s="8">
        <v>1.2407758614609774</v>
      </c>
      <c r="AV32" s="7"/>
      <c r="AW32" s="8"/>
      <c r="AX32" s="7">
        <v>8.4553202099004673E-3</v>
      </c>
      <c r="AY32" s="8">
        <v>0.65951497637223644</v>
      </c>
      <c r="AZ32" s="7"/>
      <c r="BA32" s="8"/>
      <c r="BB32" s="7"/>
      <c r="BC32" s="8"/>
      <c r="BD32" s="7"/>
      <c r="BE32" s="8"/>
      <c r="BF32" s="7">
        <v>0.10343477071861569</v>
      </c>
      <c r="BG32" s="8">
        <v>10.860650925454648</v>
      </c>
      <c r="BH32" s="7">
        <v>4.9525010561601857E-4</v>
      </c>
      <c r="BI32" s="8">
        <v>9.657377059512362E-2</v>
      </c>
      <c r="BJ32" s="7">
        <v>2.1791329091387177E-2</v>
      </c>
      <c r="BK32" s="8">
        <v>100.37086179492934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0.81392077223100234</v>
      </c>
      <c r="AC33" s="8">
        <v>157.08670904058346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3.4104800052232626E-2</v>
      </c>
      <c r="BK33" s="8">
        <v>157.08670904058346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2E-3</v>
      </c>
      <c r="F34" s="11"/>
      <c r="G34" s="17"/>
      <c r="H34" s="11">
        <v>1.0999999999999999E-2</v>
      </c>
      <c r="I34" s="17">
        <f>H34*H21</f>
        <v>0.82499999999999996</v>
      </c>
      <c r="J34" s="11">
        <v>3.0000000000000001E-3</v>
      </c>
      <c r="K34" s="17">
        <f>J34*J21</f>
        <v>0.192</v>
      </c>
      <c r="L34" s="11"/>
      <c r="M34" s="12"/>
      <c r="N34" s="11"/>
      <c r="O34" s="12"/>
      <c r="P34" s="11">
        <v>1E-3</v>
      </c>
      <c r="Q34" s="17">
        <f>P34*P21</f>
        <v>5.3999999999999999E-2</v>
      </c>
      <c r="R34" s="11"/>
      <c r="S34" s="17"/>
      <c r="T34" s="11"/>
      <c r="U34" s="12"/>
      <c r="V34" s="11">
        <v>1.6E-2</v>
      </c>
      <c r="W34" s="17">
        <f>V34*V21</f>
        <v>0.24</v>
      </c>
      <c r="X34" s="11">
        <v>4.2999999999999997E-2</v>
      </c>
      <c r="Y34" s="17">
        <f>X34*X21</f>
        <v>24.466999999999999</v>
      </c>
      <c r="Z34" s="11">
        <v>0.82499999999999996</v>
      </c>
      <c r="AA34" s="17">
        <f>Z34*Z21</f>
        <v>4.9499999999999993</v>
      </c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>
        <v>7.0000000000000001E-3</v>
      </c>
      <c r="AM34" s="17">
        <f>AL34*AL21</f>
        <v>0.56700000000000006</v>
      </c>
      <c r="AN34" s="11"/>
      <c r="AO34" s="12"/>
      <c r="AP34" s="11">
        <v>5.0000000000000001E-3</v>
      </c>
      <c r="AQ34" s="17">
        <f>AP34*AP21</f>
        <v>0.67500000000000004</v>
      </c>
      <c r="AR34" s="11"/>
      <c r="AS34" s="12"/>
      <c r="AT34" s="11">
        <v>1.9E-2</v>
      </c>
      <c r="AU34" s="17">
        <f>AT34*AT21</f>
        <v>1.3109999999999999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0.52500000000000002</v>
      </c>
      <c r="BH34" s="11"/>
      <c r="BI34" s="12"/>
      <c r="BJ34" s="11">
        <v>2.4782909264674163E-2</v>
      </c>
      <c r="BK34" s="12">
        <v>114.1500800730892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5.6069473286766001E-2</v>
      </c>
      <c r="Y35" s="8">
        <v>31.903530300169855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6.9265154798458222E-3</v>
      </c>
      <c r="BK35" s="8">
        <v>31.903530300169855</v>
      </c>
    </row>
    <row r="36" spans="1:63" x14ac:dyDescent="0.3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5.8801619563493841E-2</v>
      </c>
      <c r="AG36" s="8">
        <v>85.615158084447032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1.8587746001833921E-2</v>
      </c>
      <c r="BK36" s="8">
        <v>85.615158084447032</v>
      </c>
    </row>
    <row r="37" spans="1:63" ht="58" x14ac:dyDescent="0.3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0.26973601596793673</v>
      </c>
      <c r="BK37" s="8">
        <v>1242.4040895483165</v>
      </c>
    </row>
    <row r="38" spans="1:63" ht="43.5" x14ac:dyDescent="0.3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0.1480322825877588</v>
      </c>
      <c r="BK38" s="8">
        <v>681.83669359921703</v>
      </c>
    </row>
    <row r="39" spans="1:63" x14ac:dyDescent="0.35">
      <c r="A39" s="6" t="s">
        <v>204</v>
      </c>
      <c r="B39" s="13">
        <v>0.32348222173057561</v>
      </c>
      <c r="C39" s="14">
        <v>13.262771090953601</v>
      </c>
      <c r="D39" s="13">
        <v>0.84644972690206943</v>
      </c>
      <c r="E39" s="14">
        <v>0.84644972690206943</v>
      </c>
      <c r="F39" s="13">
        <v>0.80419386721174113</v>
      </c>
      <c r="G39" s="14">
        <v>18.496458945870046</v>
      </c>
      <c r="H39" s="13">
        <v>0.54866065054147173</v>
      </c>
      <c r="I39" s="14">
        <v>41.149548790610382</v>
      </c>
      <c r="J39" s="13">
        <v>0.63804560107556085</v>
      </c>
      <c r="K39" s="14">
        <v>40.834918468835895</v>
      </c>
      <c r="L39" s="13">
        <v>0.51502248791580774</v>
      </c>
      <c r="M39" s="14">
        <v>249.27088415125095</v>
      </c>
      <c r="N39" s="13">
        <v>0.92500000000000004</v>
      </c>
      <c r="O39" s="14">
        <v>14.8</v>
      </c>
      <c r="P39" s="13">
        <v>0.36900434693325734</v>
      </c>
      <c r="Q39" s="14">
        <v>19.926234734395898</v>
      </c>
      <c r="R39" s="13">
        <v>0.27016822046993283</v>
      </c>
      <c r="S39" s="14">
        <v>34.311363999681468</v>
      </c>
      <c r="T39" s="13">
        <v>0.21107370785275337</v>
      </c>
      <c r="U39" s="14">
        <v>4.0104004492023142</v>
      </c>
      <c r="V39" s="13">
        <v>0.63004518735831216</v>
      </c>
      <c r="W39" s="14">
        <v>9.4506778103746818</v>
      </c>
      <c r="X39" s="13">
        <v>0.68404510412576047</v>
      </c>
      <c r="Y39" s="14">
        <v>389.22166424755773</v>
      </c>
      <c r="Z39" s="13">
        <v>0.82499999999999996</v>
      </c>
      <c r="AA39" s="14">
        <v>4.9499999999999993</v>
      </c>
      <c r="AB39" s="13">
        <v>0.81392077223100234</v>
      </c>
      <c r="AC39" s="14">
        <v>157.08670904058346</v>
      </c>
      <c r="AD39" s="13">
        <v>1</v>
      </c>
      <c r="AE39" s="14">
        <v>1</v>
      </c>
      <c r="AF39" s="13">
        <v>0.24511779738918227</v>
      </c>
      <c r="AG39" s="14">
        <v>356.89151299864938</v>
      </c>
      <c r="AH39" s="13">
        <v>0.68799999999999994</v>
      </c>
      <c r="AI39" s="14">
        <v>25.456</v>
      </c>
      <c r="AJ39" s="13">
        <v>0.75</v>
      </c>
      <c r="AK39" s="14">
        <v>6</v>
      </c>
      <c r="AL39" s="13">
        <v>0.99768465221941971</v>
      </c>
      <c r="AM39" s="14">
        <v>80.812456829772998</v>
      </c>
      <c r="AN39" s="13">
        <v>0.28393122858976816</v>
      </c>
      <c r="AO39" s="14">
        <v>70.414944690262502</v>
      </c>
      <c r="AP39" s="13">
        <v>0.12554696972846413</v>
      </c>
      <c r="AQ39" s="14">
        <v>16.948840913342657</v>
      </c>
      <c r="AR39" s="13">
        <v>0</v>
      </c>
      <c r="AS39" s="14" t="s">
        <v>68</v>
      </c>
      <c r="AT39" s="13">
        <v>0.37050297329834037</v>
      </c>
      <c r="AU39" s="14">
        <v>25.564705157585486</v>
      </c>
      <c r="AV39" s="13">
        <v>0.33544766854734154</v>
      </c>
      <c r="AW39" s="14">
        <v>39.918272557133641</v>
      </c>
      <c r="AX39" s="13">
        <v>8.0513364812453192E-2</v>
      </c>
      <c r="AY39" s="14">
        <v>4.3477216998724728</v>
      </c>
      <c r="AZ39" s="13">
        <v>9.852346774184717E-2</v>
      </c>
      <c r="BA39" s="14">
        <v>6.4040254032200661</v>
      </c>
      <c r="BB39" s="13">
        <v>0.37407407407407411</v>
      </c>
      <c r="BC39" s="14">
        <v>10.100000000000001</v>
      </c>
      <c r="BD39" s="13">
        <v>3.7712892997988856E-2</v>
      </c>
      <c r="BE39" s="14">
        <v>5.5437952707043614</v>
      </c>
      <c r="BF39" s="13">
        <v>0.13462714772550277</v>
      </c>
      <c r="BG39" s="14">
        <v>14.135850511177791</v>
      </c>
      <c r="BH39" s="13">
        <v>4.9211828983275696E-2</v>
      </c>
      <c r="BI39" s="14">
        <v>9.596306651738761</v>
      </c>
      <c r="BJ39" s="13">
        <v>0.36110175336009487</v>
      </c>
      <c r="BK39" s="14">
        <v>1663.2346759765969</v>
      </c>
    </row>
    <row r="40" spans="1:63" s="15" customFormat="1" ht="63" customHeight="1" x14ac:dyDescent="0.35">
      <c r="A40" s="1" t="s">
        <v>25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82</v>
      </c>
      <c r="C42" s="65"/>
      <c r="D42" s="65">
        <v>6</v>
      </c>
      <c r="E42" s="65"/>
      <c r="F42" s="65">
        <v>95</v>
      </c>
      <c r="G42" s="65"/>
      <c r="H42" s="65">
        <v>204</v>
      </c>
      <c r="I42" s="65"/>
      <c r="J42" s="65">
        <v>200</v>
      </c>
      <c r="K42" s="65"/>
      <c r="L42" s="65">
        <v>1121</v>
      </c>
      <c r="M42" s="65"/>
      <c r="N42" s="65">
        <v>22</v>
      </c>
      <c r="O42" s="65"/>
      <c r="P42" s="65">
        <v>134</v>
      </c>
      <c r="Q42" s="65"/>
      <c r="R42" s="65">
        <v>273</v>
      </c>
      <c r="S42" s="65"/>
      <c r="T42" s="65">
        <v>20</v>
      </c>
      <c r="U42" s="65"/>
      <c r="V42" s="65">
        <v>84</v>
      </c>
      <c r="W42" s="65"/>
      <c r="X42" s="65">
        <v>1240</v>
      </c>
      <c r="Y42" s="65"/>
      <c r="Z42" s="65">
        <v>42</v>
      </c>
      <c r="AA42" s="65"/>
      <c r="AB42" s="65">
        <v>402</v>
      </c>
      <c r="AC42" s="65"/>
      <c r="AD42" s="65">
        <v>4</v>
      </c>
      <c r="AE42" s="65"/>
      <c r="AF42" s="65">
        <v>1468</v>
      </c>
      <c r="AG42" s="65"/>
      <c r="AH42" s="65">
        <v>37</v>
      </c>
      <c r="AI42" s="65"/>
      <c r="AJ42" s="65">
        <v>8</v>
      </c>
      <c r="AK42" s="65"/>
      <c r="AL42" s="65">
        <v>81</v>
      </c>
      <c r="AM42" s="65"/>
      <c r="AN42" s="65">
        <v>248</v>
      </c>
      <c r="AO42" s="65"/>
      <c r="AP42" s="65">
        <v>135</v>
      </c>
      <c r="AQ42" s="65"/>
      <c r="AR42" s="65">
        <v>20</v>
      </c>
      <c r="AS42" s="65"/>
      <c r="AT42" s="65">
        <v>213</v>
      </c>
      <c r="AU42" s="65"/>
      <c r="AV42" s="65">
        <v>347</v>
      </c>
      <c r="AW42" s="65"/>
      <c r="AX42" s="65">
        <v>77</v>
      </c>
      <c r="AY42" s="65"/>
      <c r="AZ42" s="65">
        <v>143</v>
      </c>
      <c r="BA42" s="65"/>
      <c r="BB42" s="65">
        <v>62</v>
      </c>
      <c r="BC42" s="65"/>
      <c r="BD42" s="65">
        <v>325</v>
      </c>
      <c r="BE42" s="65"/>
      <c r="BF42" s="65">
        <v>225</v>
      </c>
      <c r="BG42" s="65"/>
      <c r="BH42" s="65">
        <v>371</v>
      </c>
      <c r="BI42" s="65"/>
      <c r="BJ42" s="65">
        <v>9256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0.16679113828992967</v>
      </c>
      <c r="C44" s="8">
        <v>13.676873339774232</v>
      </c>
      <c r="D44" s="7">
        <v>0.27054348242792658</v>
      </c>
      <c r="E44" s="8">
        <v>1.6232608945675595</v>
      </c>
      <c r="F44" s="7">
        <v>0.37812403454126209</v>
      </c>
      <c r="G44" s="8">
        <v>35.921783281419899</v>
      </c>
      <c r="H44" s="7">
        <v>0.30293836996958873</v>
      </c>
      <c r="I44" s="8">
        <v>61.799427473796101</v>
      </c>
      <c r="J44" s="7">
        <v>0.1443083533296281</v>
      </c>
      <c r="K44" s="8">
        <v>28.861670665925622</v>
      </c>
      <c r="L44" s="7">
        <v>5.5704761117423472E-2</v>
      </c>
      <c r="M44" s="8">
        <v>62.445037212631711</v>
      </c>
      <c r="N44" s="7"/>
      <c r="O44" s="8"/>
      <c r="P44" s="7">
        <v>0.18518907706363233</v>
      </c>
      <c r="Q44" s="8">
        <v>24.815336326526733</v>
      </c>
      <c r="R44" s="7">
        <v>0.21863772383730848</v>
      </c>
      <c r="S44" s="8">
        <v>59.688098607585218</v>
      </c>
      <c r="T44" s="7"/>
      <c r="U44" s="8"/>
      <c r="V44" s="7">
        <v>0.63470815537359693</v>
      </c>
      <c r="W44" s="8">
        <v>53.31548505138214</v>
      </c>
      <c r="X44" s="7">
        <v>0.68663904606688142</v>
      </c>
      <c r="Y44" s="8">
        <v>851.43241712293297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0.22277684438388975</v>
      </c>
      <c r="AM44" s="8">
        <v>18.04492439509507</v>
      </c>
      <c r="AN44" s="7"/>
      <c r="AO44" s="8"/>
      <c r="AP44" s="7">
        <v>2.5719852917306465E-2</v>
      </c>
      <c r="AQ44" s="8">
        <v>3.4721801438363729</v>
      </c>
      <c r="AR44" s="7"/>
      <c r="AS44" s="8"/>
      <c r="AT44" s="7">
        <v>0.40735102422663838</v>
      </c>
      <c r="AU44" s="8">
        <v>86.765768160273979</v>
      </c>
      <c r="AV44" s="7">
        <v>0.11506375407178844</v>
      </c>
      <c r="AW44" s="8">
        <v>39.927122662910591</v>
      </c>
      <c r="AX44" s="7"/>
      <c r="AY44" s="8"/>
      <c r="AZ44" s="7"/>
      <c r="BA44" s="8"/>
      <c r="BB44" s="7"/>
      <c r="BC44" s="8"/>
      <c r="BD44" s="7"/>
      <c r="BE44" s="8"/>
      <c r="BF44" s="7">
        <v>3.0039120880733357E-2</v>
      </c>
      <c r="BG44" s="8">
        <v>6.7588021981650055</v>
      </c>
      <c r="BH44" s="7"/>
      <c r="BI44" s="8"/>
      <c r="BJ44" s="7">
        <v>0.14569448871400423</v>
      </c>
      <c r="BK44" s="8">
        <v>1348.5481875368232</v>
      </c>
    </row>
    <row r="45" spans="1:63" x14ac:dyDescent="0.35">
      <c r="A45" s="6" t="s">
        <v>10</v>
      </c>
      <c r="B45" s="7">
        <v>0.35263541818469712</v>
      </c>
      <c r="C45" s="8">
        <v>50.426864800411693</v>
      </c>
      <c r="D45" s="7"/>
      <c r="E45" s="8"/>
      <c r="F45" s="7">
        <v>0.37493303665286909</v>
      </c>
      <c r="G45" s="8">
        <v>35.618638482022561</v>
      </c>
      <c r="H45" s="7">
        <v>0.13187012001976517</v>
      </c>
      <c r="I45" s="8">
        <v>26.901504484032095</v>
      </c>
      <c r="J45" s="7"/>
      <c r="K45" s="8"/>
      <c r="L45" s="7">
        <v>6.3120740407786563E-2</v>
      </c>
      <c r="M45" s="8">
        <v>70.758349997128732</v>
      </c>
      <c r="N45" s="7"/>
      <c r="O45" s="8"/>
      <c r="P45" s="7">
        <v>6.2966011675251787E-2</v>
      </c>
      <c r="Q45" s="8">
        <v>8.4374455644837401</v>
      </c>
      <c r="R45" s="7"/>
      <c r="S45" s="8"/>
      <c r="T45" s="7"/>
      <c r="U45" s="8"/>
      <c r="V45" s="7">
        <v>0.222092538075225</v>
      </c>
      <c r="W45" s="8">
        <v>18.655773198318901</v>
      </c>
      <c r="X45" s="7"/>
      <c r="Y45" s="8"/>
      <c r="Z45" s="7"/>
      <c r="AA45" s="8"/>
      <c r="AB45" s="7"/>
      <c r="AC45" s="8"/>
      <c r="AD45" s="7"/>
      <c r="AE45" s="8"/>
      <c r="AF45" s="7">
        <v>7.9032642015231219E-2</v>
      </c>
      <c r="AG45" s="8">
        <v>116.01991847835943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3.5308826167324676E-2</v>
      </c>
      <c r="BK45" s="8">
        <v>326.81849500475721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0.14155479938503993</v>
      </c>
      <c r="M46" s="10">
        <v>158.68293011062977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1.7143791066403388E-2</v>
      </c>
      <c r="BK46" s="10">
        <v>158.68293011062977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0.29653330252814158</v>
      </c>
      <c r="M47" s="10">
        <v>332.41383213404674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3.5913335364525359E-2</v>
      </c>
      <c r="BK47" s="10">
        <v>332.41383213404674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0.23987943085064051</v>
      </c>
      <c r="I48" s="10">
        <v>48.935403893530662</v>
      </c>
      <c r="J48" s="9">
        <v>6.1123066021690063E-2</v>
      </c>
      <c r="K48" s="10">
        <v>12.224613204338013</v>
      </c>
      <c r="L48" s="9">
        <v>0.11595155198476891</v>
      </c>
      <c r="M48" s="10">
        <v>129.98168977492594</v>
      </c>
      <c r="N48" s="9"/>
      <c r="O48" s="10"/>
      <c r="P48" s="9">
        <v>0.23007700568872305</v>
      </c>
      <c r="Q48" s="10">
        <v>30.83031876228889</v>
      </c>
      <c r="R48" s="9">
        <v>0.12105294998559563</v>
      </c>
      <c r="S48" s="10">
        <v>0.12105294998559563</v>
      </c>
      <c r="T48" s="9">
        <v>0.20688238936533482</v>
      </c>
      <c r="U48" s="10">
        <v>4.1376477873066966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8.0742007706012336E-2</v>
      </c>
      <c r="AG48" s="10">
        <v>117.56036321995396</v>
      </c>
      <c r="AH48" s="9"/>
      <c r="AI48" s="10"/>
      <c r="AJ48" s="9"/>
      <c r="AK48" s="10"/>
      <c r="AL48" s="9"/>
      <c r="AM48" s="10"/>
      <c r="AN48" s="9">
        <v>0.28393122858976816</v>
      </c>
      <c r="AO48" s="10">
        <v>70.414944690262502</v>
      </c>
      <c r="AP48" s="9">
        <v>6.5793136497627761E-2</v>
      </c>
      <c r="AQ48" s="10">
        <v>8.8820734271797477</v>
      </c>
      <c r="AR48" s="9"/>
      <c r="AS48" s="10"/>
      <c r="AT48" s="9"/>
      <c r="AU48" s="10"/>
      <c r="AV48" s="9">
        <v>0.23429865272573783</v>
      </c>
      <c r="AW48" s="10">
        <v>81.301632495831029</v>
      </c>
      <c r="AX48" s="9">
        <v>8.2499594152054878E-2</v>
      </c>
      <c r="AY48" s="10">
        <v>6.3524687497082253</v>
      </c>
      <c r="AZ48" s="9">
        <v>0.1335662328340827</v>
      </c>
      <c r="BA48" s="10">
        <v>19.099971295273825</v>
      </c>
      <c r="BB48" s="9"/>
      <c r="BC48" s="10"/>
      <c r="BD48" s="9"/>
      <c r="BE48" s="10"/>
      <c r="BF48" s="9"/>
      <c r="BG48" s="10"/>
      <c r="BH48" s="9">
        <v>2.5618436539179727E-2</v>
      </c>
      <c r="BI48" s="10">
        <v>9.5044399560356787</v>
      </c>
      <c r="BJ48" s="9">
        <v>6.1827249632962704E-2</v>
      </c>
      <c r="BK48" s="10">
        <v>572.27302260270278</v>
      </c>
    </row>
    <row r="49" spans="1:63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4.5940956236934935E-2</v>
      </c>
      <c r="M49" s="10">
        <v>51.499811941604065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/>
      <c r="AG49" s="10"/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5.5639381959382093E-3</v>
      </c>
      <c r="BK49" s="10">
        <v>51.499811941604065</v>
      </c>
    </row>
    <row r="50" spans="1:63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2.6024527188655278E-2</v>
      </c>
      <c r="AG50" s="8">
        <v>38.204005912945945</v>
      </c>
      <c r="AH50" s="7"/>
      <c r="AI50" s="8"/>
      <c r="AJ50" s="7"/>
      <c r="AK50" s="8"/>
      <c r="AL50" s="7"/>
      <c r="AM50" s="8"/>
      <c r="AN50" s="7"/>
      <c r="AO50" s="8"/>
      <c r="AP50" s="7">
        <v>3.4423917577061862E-2</v>
      </c>
      <c r="AQ50" s="8">
        <v>4.6472288729033515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4.629562963034713E-3</v>
      </c>
      <c r="BK50" s="8">
        <v>42.8512347858493</v>
      </c>
    </row>
    <row r="51" spans="1:63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1.1352593671126284E-2</v>
      </c>
      <c r="AG51" s="10">
        <v>16.665607509213384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3.2510767385176341E-3</v>
      </c>
      <c r="BK51" s="8">
        <v>30.091966291719221</v>
      </c>
    </row>
    <row r="52" spans="1:63" x14ac:dyDescent="0.35">
      <c r="A52" s="6" t="s">
        <v>12</v>
      </c>
      <c r="B52" s="9">
        <v>1.2800000000000001E-2</v>
      </c>
      <c r="C52" s="10">
        <v>1.8304</v>
      </c>
      <c r="D52" s="9">
        <v>0.79999999999999993</v>
      </c>
      <c r="E52" s="10">
        <v>4.8</v>
      </c>
      <c r="F52" s="9">
        <v>0.70196842105263157</v>
      </c>
      <c r="G52" s="10">
        <v>66.686999999999998</v>
      </c>
      <c r="H52" s="9"/>
      <c r="I52" s="10"/>
      <c r="J52" s="9">
        <v>0.55337785252543636</v>
      </c>
      <c r="K52" s="10">
        <v>110.67557050508728</v>
      </c>
      <c r="L52" s="9"/>
      <c r="M52" s="10"/>
      <c r="N52" s="9">
        <v>0.91463636363636358</v>
      </c>
      <c r="O52" s="10">
        <v>20.122</v>
      </c>
      <c r="P52" s="9">
        <v>7.2150492477756512E-2</v>
      </c>
      <c r="Q52" s="10">
        <v>9.6681659920193734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4</v>
      </c>
      <c r="AF52" s="9"/>
      <c r="AG52" s="10"/>
      <c r="AH52" s="9">
        <v>0.68799999999999994</v>
      </c>
      <c r="AI52" s="10">
        <v>25.456</v>
      </c>
      <c r="AJ52" s="9">
        <v>0.75</v>
      </c>
      <c r="AK52" s="10">
        <v>6</v>
      </c>
      <c r="AL52" s="9">
        <v>0.99700000000000011</v>
      </c>
      <c r="AM52" s="10">
        <v>80.757000000000005</v>
      </c>
      <c r="AN52" s="9"/>
      <c r="AO52" s="10"/>
      <c r="AP52" s="9"/>
      <c r="AQ52" s="10"/>
      <c r="AR52" s="9">
        <v>0.63300000000000001</v>
      </c>
      <c r="AS52" s="10">
        <v>12.66</v>
      </c>
      <c r="AT52" s="9"/>
      <c r="AU52" s="10"/>
      <c r="AV52" s="9"/>
      <c r="AW52" s="10"/>
      <c r="AX52" s="9"/>
      <c r="AY52" s="10"/>
      <c r="AZ52" s="9"/>
      <c r="BA52" s="10"/>
      <c r="BB52" s="9">
        <v>0.39903225806451614</v>
      </c>
      <c r="BC52" s="10">
        <v>24.740000000000002</v>
      </c>
      <c r="BD52" s="9">
        <v>3.8179019215154611E-2</v>
      </c>
      <c r="BE52" s="10">
        <v>13.095403590798032</v>
      </c>
      <c r="BF52" s="9"/>
      <c r="BG52" s="10"/>
      <c r="BH52" s="9"/>
      <c r="BI52" s="10"/>
      <c r="BJ52" s="9">
        <v>4.1107569730175521E-2</v>
      </c>
      <c r="BK52" s="10">
        <v>380.49166542250464</v>
      </c>
    </row>
    <row r="53" spans="1:63" x14ac:dyDescent="0.35">
      <c r="A53" s="6" t="s">
        <v>13</v>
      </c>
      <c r="B53" s="7">
        <v>1.437105540999073E-3</v>
      </c>
      <c r="C53" s="8">
        <v>0.20550609236286743</v>
      </c>
      <c r="D53" s="7"/>
      <c r="E53" s="8"/>
      <c r="F53" s="7"/>
      <c r="G53" s="8"/>
      <c r="H53" s="7">
        <v>4.5183298016338034E-3</v>
      </c>
      <c r="I53" s="8">
        <v>0.92173927953329593</v>
      </c>
      <c r="J53" s="7">
        <v>5.8716209338112793E-3</v>
      </c>
      <c r="K53" s="8">
        <v>1.1743241867622558</v>
      </c>
      <c r="L53" s="7">
        <v>1.5579711666602016E-2</v>
      </c>
      <c r="M53" s="8">
        <v>17.464856778260859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4.1959660638839748E-2</v>
      </c>
      <c r="Y53" s="8">
        <v>52.029979192161285</v>
      </c>
      <c r="Z53" s="7"/>
      <c r="AA53" s="8"/>
      <c r="AB53" s="7"/>
      <c r="AC53" s="8"/>
      <c r="AD53" s="7"/>
      <c r="AE53" s="8"/>
      <c r="AF53" s="7">
        <v>1.50290870967573E-2</v>
      </c>
      <c r="AG53" s="8">
        <v>22.062699858039718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2.0010427875837802E-2</v>
      </c>
      <c r="AU53" s="8">
        <v>4.2622211375534516</v>
      </c>
      <c r="AV53" s="7"/>
      <c r="AW53" s="8"/>
      <c r="AX53" s="7">
        <v>7.5444291207915556E-3</v>
      </c>
      <c r="AY53" s="8">
        <v>0.76198734119994715</v>
      </c>
      <c r="AZ53" s="7"/>
      <c r="BA53" s="8"/>
      <c r="BB53" s="7"/>
      <c r="BC53" s="8"/>
      <c r="BD53" s="7"/>
      <c r="BE53" s="8"/>
      <c r="BF53" s="7">
        <v>9.840555025748958E-2</v>
      </c>
      <c r="BG53" s="8">
        <v>10.860650925454648</v>
      </c>
      <c r="BH53" s="7">
        <v>4.9525010561601857E-4</v>
      </c>
      <c r="BI53" s="8">
        <v>0.18373778918354289</v>
      </c>
      <c r="BJ53" s="7">
        <v>1.9471355378386467E-2</v>
      </c>
      <c r="BK53" s="8">
        <v>180.22686538234515</v>
      </c>
    </row>
    <row r="54" spans="1:63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0.8247819379652781</v>
      </c>
      <c r="AC54" s="8">
        <v>331.56233906204181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3.5821341730989824E-2</v>
      </c>
      <c r="BK54" s="8">
        <v>331.56233906204181</v>
      </c>
    </row>
    <row r="55" spans="1:63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0.03</v>
      </c>
      <c r="F55" s="11"/>
      <c r="G55" s="17"/>
      <c r="H55" s="11">
        <v>2.5999999999999999E-2</v>
      </c>
      <c r="I55" s="17">
        <f>H55*H42</f>
        <v>5.3039999999999994</v>
      </c>
      <c r="J55" s="11">
        <v>0.02</v>
      </c>
      <c r="K55" s="17">
        <f>J55*J42</f>
        <v>4</v>
      </c>
      <c r="L55" s="11"/>
      <c r="M55" s="12"/>
      <c r="N55" s="11"/>
      <c r="O55" s="12"/>
      <c r="P55" s="11">
        <v>2E-3</v>
      </c>
      <c r="Q55" s="17">
        <f>P55*P42</f>
        <v>0.26800000000000002</v>
      </c>
      <c r="R55" s="11"/>
      <c r="S55" s="17"/>
      <c r="T55" s="11"/>
      <c r="U55" s="12"/>
      <c r="V55" s="11">
        <v>2.7E-2</v>
      </c>
      <c r="W55" s="17">
        <f>V55*V42</f>
        <v>2.2679999999999998</v>
      </c>
      <c r="X55" s="11">
        <v>0.13200000000000001</v>
      </c>
      <c r="Y55" s="17">
        <f>X55*X42</f>
        <v>163.68</v>
      </c>
      <c r="Z55" s="11">
        <v>0.94399999999999995</v>
      </c>
      <c r="AA55" s="17">
        <f>Z55*Z42</f>
        <v>39.647999999999996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7">
        <f>AL55*AL42</f>
        <v>0.56700000000000006</v>
      </c>
      <c r="AN55" s="11"/>
      <c r="AO55" s="12"/>
      <c r="AP55" s="11">
        <v>5.0000000000000001E-3</v>
      </c>
      <c r="AQ55" s="17">
        <f>AP55*AP42</f>
        <v>0.67500000000000004</v>
      </c>
      <c r="AR55" s="11"/>
      <c r="AS55" s="12"/>
      <c r="AT55" s="11">
        <v>5.7000000000000002E-2</v>
      </c>
      <c r="AU55" s="17">
        <f>AT55*AT42</f>
        <v>12.141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1.575</v>
      </c>
      <c r="BH55" s="11"/>
      <c r="BI55" s="12"/>
      <c r="BJ55" s="11">
        <v>3.8127552714883328E-2</v>
      </c>
      <c r="BK55" s="12">
        <v>352.90862792896007</v>
      </c>
    </row>
    <row r="56" spans="1:63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5.6069473286766001E-2</v>
      </c>
      <c r="Y56" s="8">
        <v>69.526146875589845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7.5114678992642446E-3</v>
      </c>
      <c r="BK56" s="8">
        <v>69.526146875589845</v>
      </c>
    </row>
    <row r="57" spans="1:63" x14ac:dyDescent="0.3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5.832095237360152E-2</v>
      </c>
      <c r="AG57" s="8">
        <v>85.615158084447032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9.2496929650439756E-3</v>
      </c>
      <c r="BK57" s="8">
        <v>85.615158084447032</v>
      </c>
    </row>
    <row r="58" spans="1:63" ht="58" x14ac:dyDescent="0.3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0.29753487441256998</v>
      </c>
      <c r="BK58" s="8">
        <v>2753.9827975627477</v>
      </c>
    </row>
    <row r="59" spans="1:63" ht="43.5" x14ac:dyDescent="0.3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0.14718654076899251</v>
      </c>
      <c r="BK59" s="8">
        <v>1362.3586213577946</v>
      </c>
    </row>
    <row r="60" spans="1:63" x14ac:dyDescent="0.35">
      <c r="A60" s="6" t="s">
        <v>204</v>
      </c>
      <c r="B60" s="13">
        <v>0.46827952264750872</v>
      </c>
      <c r="C60" s="14">
        <v>38.398920857095717</v>
      </c>
      <c r="D60" s="13">
        <v>0.85483815300315735</v>
      </c>
      <c r="E60" s="14">
        <v>5.1290289180189443</v>
      </c>
      <c r="F60" s="13">
        <v>0.88415091666748002</v>
      </c>
      <c r="G60" s="14">
        <v>83.994337083410599</v>
      </c>
      <c r="H60" s="13">
        <v>0.5540043822992271</v>
      </c>
      <c r="I60" s="14">
        <v>113.01689398904233</v>
      </c>
      <c r="J60" s="13">
        <v>0.65042950883186834</v>
      </c>
      <c r="K60" s="14">
        <v>130.08590176637367</v>
      </c>
      <c r="L60" s="13">
        <v>0.55641237838917901</v>
      </c>
      <c r="M60" s="14">
        <v>623.73827617426969</v>
      </c>
      <c r="N60" s="13">
        <v>0.91463636363636358</v>
      </c>
      <c r="O60" s="14">
        <v>20.122</v>
      </c>
      <c r="P60" s="13">
        <v>0.45566337092280873</v>
      </c>
      <c r="Q60" s="14">
        <v>61.058891703656371</v>
      </c>
      <c r="R60" s="13">
        <v>0.31322393237426194</v>
      </c>
      <c r="S60" s="14">
        <v>85.510133538173505</v>
      </c>
      <c r="T60" s="13">
        <v>0.20688238936533487</v>
      </c>
      <c r="U60" s="14">
        <v>4.1376477873066975</v>
      </c>
      <c r="V60" s="13">
        <v>0.7235091560811644</v>
      </c>
      <c r="W60" s="14">
        <v>60.774769110817807</v>
      </c>
      <c r="X60" s="13">
        <v>0.75402643640267719</v>
      </c>
      <c r="Y60" s="14">
        <v>934.99278113931973</v>
      </c>
      <c r="Z60" s="13">
        <v>0.94399999999999995</v>
      </c>
      <c r="AA60" s="14">
        <v>39.647999999999996</v>
      </c>
      <c r="AB60" s="13">
        <v>0.8247819379652781</v>
      </c>
      <c r="AC60" s="14">
        <v>331.56233906204181</v>
      </c>
      <c r="AD60" s="13">
        <v>1</v>
      </c>
      <c r="AE60" s="14">
        <v>4</v>
      </c>
      <c r="AF60" s="13">
        <v>0.24386835028318921</v>
      </c>
      <c r="AG60" s="14">
        <v>357.99873821572174</v>
      </c>
      <c r="AH60" s="13">
        <v>0.68799999999999994</v>
      </c>
      <c r="AI60" s="14">
        <v>25.456</v>
      </c>
      <c r="AJ60" s="13">
        <v>0.75</v>
      </c>
      <c r="AK60" s="14">
        <v>6</v>
      </c>
      <c r="AL60" s="13">
        <v>0.99768465221941971</v>
      </c>
      <c r="AM60" s="14">
        <v>80.812456829772998</v>
      </c>
      <c r="AN60" s="13">
        <v>0.28393122858976816</v>
      </c>
      <c r="AO60" s="14">
        <v>70.414944690262502</v>
      </c>
      <c r="AP60" s="13">
        <v>0.12554696972846413</v>
      </c>
      <c r="AQ60" s="14">
        <v>16.948840913342657</v>
      </c>
      <c r="AR60" s="13">
        <v>0.63300000000000001</v>
      </c>
      <c r="AS60" s="14">
        <v>12.66</v>
      </c>
      <c r="AT60" s="13">
        <v>0.45231520333475406</v>
      </c>
      <c r="AU60" s="14">
        <v>96.343138310302621</v>
      </c>
      <c r="AV60" s="13">
        <v>0.32240312424094064</v>
      </c>
      <c r="AW60" s="14">
        <v>111.8738841116064</v>
      </c>
      <c r="AX60" s="13">
        <v>8.9421610932272189E-2</v>
      </c>
      <c r="AY60" s="14">
        <v>6.8854640417849584</v>
      </c>
      <c r="AZ60" s="13">
        <v>0.13356623283408275</v>
      </c>
      <c r="BA60" s="14">
        <v>19.099971295273832</v>
      </c>
      <c r="BB60" s="13">
        <v>0.39903225806451614</v>
      </c>
      <c r="BC60" s="14">
        <v>24.740000000000002</v>
      </c>
      <c r="BD60" s="13">
        <v>3.8179019215154653E-2</v>
      </c>
      <c r="BE60" s="14">
        <v>12.408181244925261</v>
      </c>
      <c r="BF60" s="13">
        <v>0.13161023433427221</v>
      </c>
      <c r="BG60" s="14">
        <v>29.612302725211247</v>
      </c>
      <c r="BH60" s="13">
        <v>2.6100999111393963E-2</v>
      </c>
      <c r="BI60" s="14">
        <v>9.6834706703271607</v>
      </c>
      <c r="BJ60" s="13">
        <v>0.38022699732374166</v>
      </c>
      <c r="BK60" s="14">
        <v>3519.3810872285526</v>
      </c>
    </row>
  </sheetData>
  <mergeCells count="93">
    <mergeCell ref="B3:C3"/>
    <mergeCell ref="D3:E3"/>
    <mergeCell ref="F3:G3"/>
    <mergeCell ref="H3:I3"/>
    <mergeCell ref="J3:K3"/>
    <mergeCell ref="L3:M3"/>
    <mergeCell ref="AH3:AI3"/>
    <mergeCell ref="AJ3:AK3"/>
    <mergeCell ref="AL3:AM3"/>
    <mergeCell ref="AN3:AO3"/>
    <mergeCell ref="N3:O3"/>
    <mergeCell ref="P3:Q3"/>
    <mergeCell ref="R3:S3"/>
    <mergeCell ref="T3:U3"/>
    <mergeCell ref="V3:W3"/>
    <mergeCell ref="AR3:AS3"/>
    <mergeCell ref="X3:Y3"/>
    <mergeCell ref="Z3:AA3"/>
    <mergeCell ref="AB3:AC3"/>
    <mergeCell ref="AD3:AE3"/>
    <mergeCell ref="AF3:AG3"/>
    <mergeCell ref="BB3:BC3"/>
    <mergeCell ref="BD3:BE3"/>
    <mergeCell ref="BF3:BG3"/>
    <mergeCell ref="BH3:BI3"/>
    <mergeCell ref="BJ3:BK3"/>
    <mergeCell ref="AT3:AU3"/>
    <mergeCell ref="AV3:AW3"/>
    <mergeCell ref="AX3:AY3"/>
    <mergeCell ref="AZ3:BA3"/>
    <mergeCell ref="N21:O21"/>
    <mergeCell ref="P21:Q21"/>
    <mergeCell ref="R21:S21"/>
    <mergeCell ref="T21:U21"/>
    <mergeCell ref="V21:W21"/>
    <mergeCell ref="AP21:AQ21"/>
    <mergeCell ref="AR21:AS21"/>
    <mergeCell ref="AT21:AU21"/>
    <mergeCell ref="AV21:AW21"/>
    <mergeCell ref="AX21:AY21"/>
    <mergeCell ref="AZ21:BA21"/>
    <mergeCell ref="AP3:AQ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B42:C42"/>
    <mergeCell ref="D42:E42"/>
    <mergeCell ref="F42:G42"/>
    <mergeCell ref="H42:I42"/>
    <mergeCell ref="J42:K42"/>
    <mergeCell ref="L42:M42"/>
    <mergeCell ref="AH42:AI42"/>
    <mergeCell ref="AJ42:AK42"/>
    <mergeCell ref="AL42:AM42"/>
    <mergeCell ref="AN42:AO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BD42:BE42"/>
    <mergeCell ref="BF42:BG42"/>
    <mergeCell ref="BH42:BI42"/>
    <mergeCell ref="BJ42:BK42"/>
    <mergeCell ref="AP42:AQ42"/>
    <mergeCell ref="AR42:AS42"/>
    <mergeCell ref="AT42:AU42"/>
    <mergeCell ref="AV42:AW42"/>
    <mergeCell ref="AX42:AY42"/>
    <mergeCell ref="AZ42:BA42"/>
    <mergeCell ref="BB42:BC42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60"/>
  <sheetViews>
    <sheetView zoomScale="80" zoomScaleNormal="80" workbookViewId="0"/>
  </sheetViews>
  <sheetFormatPr defaultRowHeight="14.5" x14ac:dyDescent="0.35"/>
  <cols>
    <col min="1" max="1" width="26.54296875" customWidth="1"/>
  </cols>
  <sheetData>
    <row r="1" spans="1:63" s="15" customFormat="1" ht="63" customHeight="1" x14ac:dyDescent="0.35">
      <c r="A1" s="1" t="s">
        <v>25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35">
      <c r="A3" s="2" t="s">
        <v>5</v>
      </c>
      <c r="B3" s="65">
        <v>41</v>
      </c>
      <c r="C3" s="65"/>
      <c r="D3" s="65">
        <v>5</v>
      </c>
      <c r="E3" s="65"/>
      <c r="F3" s="65">
        <v>72</v>
      </c>
      <c r="G3" s="65"/>
      <c r="H3" s="65">
        <v>129</v>
      </c>
      <c r="I3" s="65"/>
      <c r="J3" s="65">
        <v>136</v>
      </c>
      <c r="K3" s="65"/>
      <c r="L3" s="65">
        <v>637</v>
      </c>
      <c r="M3" s="65"/>
      <c r="N3" s="65">
        <v>6</v>
      </c>
      <c r="O3" s="65"/>
      <c r="P3" s="65">
        <v>80</v>
      </c>
      <c r="Q3" s="65"/>
      <c r="R3" s="65">
        <v>146</v>
      </c>
      <c r="S3" s="65"/>
      <c r="T3" s="65">
        <v>1</v>
      </c>
      <c r="U3" s="65"/>
      <c r="V3" s="65">
        <v>69</v>
      </c>
      <c r="W3" s="65"/>
      <c r="X3" s="65">
        <v>671</v>
      </c>
      <c r="Y3" s="65"/>
      <c r="Z3" s="65">
        <v>36</v>
      </c>
      <c r="AA3" s="65"/>
      <c r="AB3" s="65">
        <v>209</v>
      </c>
      <c r="AC3" s="65"/>
      <c r="AD3" s="65">
        <v>3</v>
      </c>
      <c r="AE3" s="65"/>
      <c r="AF3" s="65"/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20</v>
      </c>
      <c r="AS3" s="65"/>
      <c r="AT3" s="65">
        <v>144</v>
      </c>
      <c r="AU3" s="65"/>
      <c r="AV3" s="65">
        <v>228</v>
      </c>
      <c r="AW3" s="65"/>
      <c r="AX3" s="65">
        <v>23</v>
      </c>
      <c r="AY3" s="65"/>
      <c r="AZ3" s="65">
        <v>78</v>
      </c>
      <c r="BA3" s="65"/>
      <c r="BB3" s="65">
        <v>35</v>
      </c>
      <c r="BC3" s="65"/>
      <c r="BD3" s="65">
        <v>178</v>
      </c>
      <c r="BE3" s="65"/>
      <c r="BF3" s="65">
        <v>120</v>
      </c>
      <c r="BG3" s="65"/>
      <c r="BH3" s="65">
        <v>176</v>
      </c>
      <c r="BI3" s="65"/>
      <c r="BJ3" s="65">
        <v>4650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0.17650693050990199</v>
      </c>
      <c r="C5" s="8">
        <v>7.236784150905982</v>
      </c>
      <c r="D5" s="7">
        <v>0.27851016798959466</v>
      </c>
      <c r="E5" s="8">
        <v>1.3925508399479734</v>
      </c>
      <c r="F5" s="7">
        <v>0.39514638851817624</v>
      </c>
      <c r="G5" s="8">
        <v>28.45053997330869</v>
      </c>
      <c r="H5" s="7">
        <v>0.29865926529148262</v>
      </c>
      <c r="I5" s="8">
        <v>38.527045222601259</v>
      </c>
      <c r="J5" s="7">
        <v>0.19660801176355791</v>
      </c>
      <c r="K5" s="8">
        <v>26.738689599843877</v>
      </c>
      <c r="L5" s="7">
        <v>6.7033366521959944E-2</v>
      </c>
      <c r="M5" s="8">
        <v>42.700254474488482</v>
      </c>
      <c r="N5" s="7"/>
      <c r="O5" s="8"/>
      <c r="P5" s="7">
        <v>0.22352845320934644</v>
      </c>
      <c r="Q5" s="8">
        <v>17.882276256747716</v>
      </c>
      <c r="R5" s="7">
        <v>0.24253931687049077</v>
      </c>
      <c r="S5" s="8">
        <v>35.410740263091654</v>
      </c>
      <c r="T5" s="7"/>
      <c r="U5" s="8"/>
      <c r="V5" s="7">
        <v>0.64868987918805066</v>
      </c>
      <c r="W5" s="8">
        <v>44.759601663975495</v>
      </c>
      <c r="X5" s="7">
        <v>0.73116979396713</v>
      </c>
      <c r="Y5" s="8">
        <v>490.6149317519442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0.43647978694063416</v>
      </c>
      <c r="AU5" s="8">
        <v>62.853089319451321</v>
      </c>
      <c r="AV5" s="7">
        <v>0.1307011471774055</v>
      </c>
      <c r="AW5" s="8">
        <v>29.799861556448455</v>
      </c>
      <c r="AX5" s="7"/>
      <c r="AY5" s="8"/>
      <c r="AZ5" s="7"/>
      <c r="BA5" s="8"/>
      <c r="BB5" s="7"/>
      <c r="BC5" s="8"/>
      <c r="BD5" s="7"/>
      <c r="BE5" s="8"/>
      <c r="BF5" s="7">
        <v>3.0125259501154709E-2</v>
      </c>
      <c r="BG5" s="8">
        <v>3.6150311401385653</v>
      </c>
      <c r="BH5" s="7"/>
      <c r="BI5" s="8"/>
      <c r="BJ5" s="7">
        <v>0.17849062284148254</v>
      </c>
      <c r="BK5" s="8">
        <v>829.98139621289374</v>
      </c>
    </row>
    <row r="6" spans="1:63" x14ac:dyDescent="0.35">
      <c r="A6" s="6" t="s">
        <v>10</v>
      </c>
      <c r="B6" s="7">
        <v>0.41968072975404763</v>
      </c>
      <c r="C6" s="8">
        <v>42.807434434912857</v>
      </c>
      <c r="D6" s="7"/>
      <c r="E6" s="8"/>
      <c r="F6" s="7">
        <v>0.42769220925237622</v>
      </c>
      <c r="G6" s="8">
        <v>30.793839066171088</v>
      </c>
      <c r="H6" s="7">
        <v>9.643541763066657E-2</v>
      </c>
      <c r="I6" s="8">
        <v>12.440168874355988</v>
      </c>
      <c r="J6" s="7"/>
      <c r="K6" s="8"/>
      <c r="L6" s="7">
        <v>8.3271120413217284E-2</v>
      </c>
      <c r="M6" s="8">
        <v>53.043703703219407</v>
      </c>
      <c r="N6" s="7"/>
      <c r="O6" s="8"/>
      <c r="P6" s="7">
        <v>9.6099496888535391E-2</v>
      </c>
      <c r="Q6" s="8">
        <v>7.6879597510828308</v>
      </c>
      <c r="R6" s="7"/>
      <c r="S6" s="8"/>
      <c r="T6" s="7"/>
      <c r="U6" s="8"/>
      <c r="V6" s="7">
        <v>0.24323176205334113</v>
      </c>
      <c r="W6" s="8">
        <v>16.782991581680538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3.5173354282026399E-2</v>
      </c>
      <c r="BK6" s="8">
        <v>163.55609741142274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0.17612275871085348</v>
      </c>
      <c r="M7" s="10">
        <v>112.19019729881367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2.412692415028251E-2</v>
      </c>
      <c r="BK7" s="10">
        <v>112.19019729881367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0.26865471073302488</v>
      </c>
      <c r="M8" s="10">
        <v>171.13305073693687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3.6802806610093948E-2</v>
      </c>
      <c r="BK8" s="10">
        <v>171.13305073693687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0.27761694542345328</v>
      </c>
      <c r="I9" s="10">
        <v>35.812585959625473</v>
      </c>
      <c r="J9" s="9">
        <v>6.8758738320268215E-2</v>
      </c>
      <c r="K9" s="10">
        <v>9.3511884115564765</v>
      </c>
      <c r="L9" s="9">
        <v>0.15562930029540567</v>
      </c>
      <c r="M9" s="10">
        <v>99.135864288173408</v>
      </c>
      <c r="N9" s="9"/>
      <c r="O9" s="10"/>
      <c r="P9" s="9">
        <v>0.23994865252730652</v>
      </c>
      <c r="Q9" s="10">
        <v>19.19589220218452</v>
      </c>
      <c r="R9" s="9">
        <v>0.14138372339597485</v>
      </c>
      <c r="S9" s="10">
        <v>20.642023615812327</v>
      </c>
      <c r="T9" s="9">
        <v>0.12724733810438116</v>
      </c>
      <c r="U9" s="10">
        <v>0.12724733810438116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0.21376966378100673</v>
      </c>
      <c r="AW9" s="10">
        <v>48.739483342069533</v>
      </c>
      <c r="AX9" s="9">
        <v>0.10557186934166814</v>
      </c>
      <c r="AY9" s="10">
        <v>2.4281529948583671</v>
      </c>
      <c r="AZ9" s="9">
        <v>0.16276853707761235</v>
      </c>
      <c r="BA9" s="10">
        <v>12.695945892053762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5.3360942805255537E-2</v>
      </c>
      <c r="BK9" s="10">
        <v>248.12838404443826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4.2223864655195245E-2</v>
      </c>
      <c r="M10" s="10">
        <v>26.896601785359373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5.7842154377116929E-3</v>
      </c>
      <c r="BK10" s="10">
        <v>26.896601785359373</v>
      </c>
    </row>
    <row r="11" spans="1:63" x14ac:dyDescent="0.35">
      <c r="A11" s="6" t="s">
        <v>12</v>
      </c>
      <c r="B11" s="7">
        <v>1.2800000000000001E-2</v>
      </c>
      <c r="C11" s="8">
        <v>1.3056000000000001</v>
      </c>
      <c r="D11" s="7">
        <v>0.8</v>
      </c>
      <c r="E11" s="8">
        <v>4</v>
      </c>
      <c r="F11" s="7">
        <v>0.72399999999999998</v>
      </c>
      <c r="G11" s="8">
        <v>52.128</v>
      </c>
      <c r="H11" s="7"/>
      <c r="I11" s="8"/>
      <c r="J11" s="7">
        <v>0.5299462976071273</v>
      </c>
      <c r="K11" s="8">
        <v>72.072696474569312</v>
      </c>
      <c r="L11" s="7"/>
      <c r="M11" s="8"/>
      <c r="N11" s="7">
        <v>0.88700000000000001</v>
      </c>
      <c r="O11" s="8">
        <v>5.3220000000000001</v>
      </c>
      <c r="P11" s="7">
        <v>7.8108240493630493E-2</v>
      </c>
      <c r="Q11" s="8">
        <v>6.2486592394904399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3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12.66</v>
      </c>
      <c r="AT11" s="7"/>
      <c r="AU11" s="8"/>
      <c r="AV11" s="7"/>
      <c r="AW11" s="8"/>
      <c r="AX11" s="7"/>
      <c r="AY11" s="8"/>
      <c r="AZ11" s="7"/>
      <c r="BA11" s="8"/>
      <c r="BB11" s="7">
        <v>0.41828571428571432</v>
      </c>
      <c r="BC11" s="8">
        <v>14.64</v>
      </c>
      <c r="BD11" s="7">
        <v>3.8621309432578924E-2</v>
      </c>
      <c r="BE11" s="8">
        <v>6.7973504601338908</v>
      </c>
      <c r="BF11" s="7"/>
      <c r="BG11" s="8"/>
      <c r="BH11" s="7"/>
      <c r="BI11" s="8"/>
      <c r="BJ11" s="7">
        <v>3.8317082044901848E-2</v>
      </c>
      <c r="BK11" s="8">
        <v>178.17443150879359</v>
      </c>
    </row>
    <row r="12" spans="1:63" x14ac:dyDescent="0.35">
      <c r="A12" s="6" t="s">
        <v>13</v>
      </c>
      <c r="B12" s="9">
        <v>1.437105540999073E-3</v>
      </c>
      <c r="C12" s="10">
        <v>0.14658476518190544</v>
      </c>
      <c r="D12" s="9"/>
      <c r="E12" s="10"/>
      <c r="F12" s="9"/>
      <c r="G12" s="10"/>
      <c r="H12" s="9">
        <v>3.4153886251632156E-3</v>
      </c>
      <c r="I12" s="10">
        <v>0.44058513264605481</v>
      </c>
      <c r="J12" s="9">
        <v>4.2716209338112786E-3</v>
      </c>
      <c r="K12" s="10">
        <v>0.58094044699833391</v>
      </c>
      <c r="L12" s="9">
        <v>1.2075551708586969E-2</v>
      </c>
      <c r="M12" s="10">
        <v>7.6921264383698995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4.0198200616020467E-2</v>
      </c>
      <c r="Y12" s="10">
        <v>26.972992613349732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2.0982258861753294E-2</v>
      </c>
      <c r="AU12" s="10">
        <v>3.0214452760924742</v>
      </c>
      <c r="AV12" s="9"/>
      <c r="AW12" s="10"/>
      <c r="AX12" s="9">
        <v>4.4553202099004673E-3</v>
      </c>
      <c r="AY12" s="10">
        <v>0.10247236482771074</v>
      </c>
      <c r="AZ12" s="9"/>
      <c r="BA12" s="10"/>
      <c r="BB12" s="9"/>
      <c r="BC12" s="10"/>
      <c r="BD12" s="9"/>
      <c r="BE12" s="10"/>
      <c r="BF12" s="9">
        <v>9.4004982354004243E-2</v>
      </c>
      <c r="BG12" s="10">
        <v>11.280597882480508</v>
      </c>
      <c r="BH12" s="9">
        <v>4.9525010561601857E-4</v>
      </c>
      <c r="BI12" s="10">
        <v>8.7164018588419268E-2</v>
      </c>
      <c r="BJ12" s="9">
        <v>1.7173334104820605E-2</v>
      </c>
      <c r="BK12" s="8">
        <v>79.856003587415813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0.83481162689692989</v>
      </c>
      <c r="AC13" s="10">
        <v>174.47563002145836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3.7521640864829751E-2</v>
      </c>
      <c r="BK13" s="10">
        <v>174.47563002145836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0.03</v>
      </c>
      <c r="F14" s="11"/>
      <c r="G14" s="17"/>
      <c r="H14" s="11">
        <v>3.3000000000000002E-2</v>
      </c>
      <c r="I14" s="17">
        <f>H14*H3</f>
        <v>4.2570000000000006</v>
      </c>
      <c r="J14" s="11">
        <v>0.03</v>
      </c>
      <c r="K14" s="17">
        <f>J14*J3</f>
        <v>4.08</v>
      </c>
      <c r="L14" s="11"/>
      <c r="M14" s="12"/>
      <c r="N14" s="11"/>
      <c r="O14" s="12"/>
      <c r="P14" s="11">
        <v>3.0000000000000001E-3</v>
      </c>
      <c r="Q14" s="17">
        <f>P14*P3</f>
        <v>0.24</v>
      </c>
      <c r="R14" s="11">
        <v>2.0000000000000001E-4</v>
      </c>
      <c r="S14" s="17">
        <f>R14*R3</f>
        <v>2.92E-2</v>
      </c>
      <c r="T14" s="11"/>
      <c r="U14" s="12"/>
      <c r="V14" s="11">
        <v>2.9000000000000001E-2</v>
      </c>
      <c r="W14" s="17">
        <f>V14*V3</f>
        <v>2.0009999999999999</v>
      </c>
      <c r="X14" s="11">
        <v>0.20499999999999999</v>
      </c>
      <c r="Y14" s="17">
        <f>X14*X3</f>
        <v>137.55499999999998</v>
      </c>
      <c r="Z14" s="11">
        <v>0.97</v>
      </c>
      <c r="AA14" s="17">
        <f>Z14*Z3</f>
        <v>34.92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10.223999999999998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1.0799999999999998</v>
      </c>
      <c r="BH14" s="11"/>
      <c r="BI14" s="12"/>
      <c r="BJ14" s="11">
        <v>5.0328369583645997E-2</v>
      </c>
      <c r="BK14" s="12">
        <v>234.0269185639539</v>
      </c>
    </row>
    <row r="15" spans="1:63" x14ac:dyDescent="0.3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5.6069473286766001E-2</v>
      </c>
      <c r="Y15" s="8">
        <v>37.62261657541999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8.0908852850365576E-3</v>
      </c>
      <c r="BK15" s="8">
        <v>37.62261657541999</v>
      </c>
    </row>
    <row r="16" spans="1:63" ht="58" x14ac:dyDescent="0.3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0.32512023823303327</v>
      </c>
      <c r="BK16" s="8">
        <v>1511.8091077836048</v>
      </c>
    </row>
    <row r="17" spans="1:63" ht="43.5" x14ac:dyDescent="0.3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0.14646191082929438</v>
      </c>
      <c r="BK17" s="8">
        <v>681.0478853562189</v>
      </c>
    </row>
    <row r="18" spans="1:63" x14ac:dyDescent="0.35">
      <c r="A18" s="6" t="s">
        <v>204</v>
      </c>
      <c r="B18" s="13">
        <v>0.52890606678353747</v>
      </c>
      <c r="C18" s="14">
        <v>21.685148738125037</v>
      </c>
      <c r="D18" s="13">
        <v>0.85656782139633147</v>
      </c>
      <c r="E18" s="14">
        <v>4.2828391069816574</v>
      </c>
      <c r="F18" s="13">
        <v>0.90445916818484395</v>
      </c>
      <c r="G18" s="14">
        <v>65.121060109308758</v>
      </c>
      <c r="H18" s="13">
        <v>0.55883965875807751</v>
      </c>
      <c r="I18" s="14">
        <v>72.090315979791995</v>
      </c>
      <c r="J18" s="13">
        <v>0.66033577757113027</v>
      </c>
      <c r="K18" s="14">
        <v>89.805665749673722</v>
      </c>
      <c r="L18" s="13">
        <v>0.58826963353360462</v>
      </c>
      <c r="M18" s="14">
        <v>374.72775656090613</v>
      </c>
      <c r="N18" s="13">
        <v>0.88700000000000001</v>
      </c>
      <c r="O18" s="14">
        <v>5.3220000000000001</v>
      </c>
      <c r="P18" s="13">
        <v>0.50969739726967978</v>
      </c>
      <c r="Q18" s="14">
        <v>40.775791781574384</v>
      </c>
      <c r="R18" s="13">
        <v>0.34976200219168396</v>
      </c>
      <c r="S18" s="14">
        <v>51.065252319985859</v>
      </c>
      <c r="T18" s="13">
        <v>0.12724733810438116</v>
      </c>
      <c r="U18" s="14">
        <v>0.12724733810438116</v>
      </c>
      <c r="V18" s="13">
        <v>0.74184960879220418</v>
      </c>
      <c r="W18" s="14">
        <v>51.187623006662086</v>
      </c>
      <c r="X18" s="13">
        <v>0.80637261298291851</v>
      </c>
      <c r="Y18" s="14">
        <v>541.07602331153828</v>
      </c>
      <c r="Z18" s="13">
        <v>0.97</v>
      </c>
      <c r="AA18" s="14">
        <v>34.92</v>
      </c>
      <c r="AB18" s="13">
        <v>0.83481162689692989</v>
      </c>
      <c r="AC18" s="14">
        <v>174.47563002145836</v>
      </c>
      <c r="AD18" s="13">
        <v>1</v>
      </c>
      <c r="AE18" s="14">
        <v>3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12.66</v>
      </c>
      <c r="AT18" s="13">
        <v>0.48747415023620988</v>
      </c>
      <c r="AU18" s="14">
        <v>70.196277634014223</v>
      </c>
      <c r="AV18" s="13">
        <v>0.31653087067050645</v>
      </c>
      <c r="AW18" s="14">
        <v>72.169038512875474</v>
      </c>
      <c r="AX18" s="13">
        <v>0.10955683306849373</v>
      </c>
      <c r="AY18" s="14">
        <v>2.5198071605753558</v>
      </c>
      <c r="AZ18" s="13">
        <v>0.16276853707761241</v>
      </c>
      <c r="BA18" s="14">
        <v>12.695945892053768</v>
      </c>
      <c r="BB18" s="13">
        <v>0.41828571428571437</v>
      </c>
      <c r="BC18" s="14">
        <v>14.640000000000002</v>
      </c>
      <c r="BD18" s="13">
        <v>3.862130943257891E-2</v>
      </c>
      <c r="BE18" s="14">
        <v>6.8745930789990464</v>
      </c>
      <c r="BF18" s="13">
        <v>0.12920663251103703</v>
      </c>
      <c r="BG18" s="14">
        <v>15.504795901324444</v>
      </c>
      <c r="BH18" s="13">
        <v>4.9525010561601857E-4</v>
      </c>
      <c r="BI18" s="14">
        <v>8.7164018588419268E-2</v>
      </c>
      <c r="BJ18" s="13">
        <v>0.39912991410021104</v>
      </c>
      <c r="BK18" s="14">
        <v>1855.9541005659812</v>
      </c>
    </row>
    <row r="19" spans="1:63" s="15" customFormat="1" ht="63" customHeight="1" x14ac:dyDescent="0.35">
      <c r="A19" s="1" t="s">
        <v>25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41</v>
      </c>
      <c r="C21" s="65"/>
      <c r="D21" s="65">
        <v>1</v>
      </c>
      <c r="E21" s="65"/>
      <c r="F21" s="65">
        <v>23</v>
      </c>
      <c r="G21" s="65"/>
      <c r="H21" s="65">
        <v>75</v>
      </c>
      <c r="I21" s="65"/>
      <c r="J21" s="65">
        <v>64</v>
      </c>
      <c r="K21" s="65"/>
      <c r="L21" s="65">
        <v>484</v>
      </c>
      <c r="M21" s="65"/>
      <c r="N21" s="65">
        <v>16</v>
      </c>
      <c r="O21" s="65"/>
      <c r="P21" s="65">
        <v>54</v>
      </c>
      <c r="Q21" s="65"/>
      <c r="R21" s="65">
        <v>127</v>
      </c>
      <c r="S21" s="65"/>
      <c r="T21" s="65">
        <v>19</v>
      </c>
      <c r="U21" s="65"/>
      <c r="V21" s="65">
        <v>15</v>
      </c>
      <c r="W21" s="65"/>
      <c r="X21" s="65">
        <v>569</v>
      </c>
      <c r="Y21" s="65"/>
      <c r="Z21" s="65">
        <v>6</v>
      </c>
      <c r="AA21" s="65"/>
      <c r="AB21" s="65">
        <v>193</v>
      </c>
      <c r="AC21" s="65"/>
      <c r="AD21" s="65">
        <v>1</v>
      </c>
      <c r="AE21" s="65"/>
      <c r="AF21" s="65">
        <v>1456</v>
      </c>
      <c r="AG21" s="65"/>
      <c r="AH21" s="65">
        <v>37</v>
      </c>
      <c r="AI21" s="65"/>
      <c r="AJ21" s="65">
        <v>8</v>
      </c>
      <c r="AK21" s="65"/>
      <c r="AL21" s="65">
        <v>81</v>
      </c>
      <c r="AM21" s="65"/>
      <c r="AN21" s="65">
        <v>248</v>
      </c>
      <c r="AO21" s="65"/>
      <c r="AP21" s="65">
        <v>135</v>
      </c>
      <c r="AQ21" s="65"/>
      <c r="AR21" s="65" t="s">
        <v>6</v>
      </c>
      <c r="AS21" s="65"/>
      <c r="AT21" s="65">
        <v>69</v>
      </c>
      <c r="AU21" s="65"/>
      <c r="AV21" s="65">
        <v>119</v>
      </c>
      <c r="AW21" s="65"/>
      <c r="AX21" s="65">
        <v>54</v>
      </c>
      <c r="AY21" s="65"/>
      <c r="AZ21" s="65">
        <v>65</v>
      </c>
      <c r="BA21" s="65"/>
      <c r="BB21" s="65">
        <v>27</v>
      </c>
      <c r="BC21" s="65"/>
      <c r="BD21" s="65">
        <v>147</v>
      </c>
      <c r="BE21" s="65"/>
      <c r="BF21" s="65">
        <v>105</v>
      </c>
      <c r="BG21" s="65"/>
      <c r="BH21" s="65">
        <v>195</v>
      </c>
      <c r="BI21" s="65"/>
      <c r="BJ21" s="65">
        <v>4606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0.15707534606995732</v>
      </c>
      <c r="C23" s="8">
        <v>6.4400891888682503</v>
      </c>
      <c r="D23" s="7">
        <v>0.23071005461958616</v>
      </c>
      <c r="E23" s="8">
        <v>0.23071005461958616</v>
      </c>
      <c r="F23" s="7">
        <v>0.32483666557005242</v>
      </c>
      <c r="G23" s="8">
        <v>7.4712433081112062</v>
      </c>
      <c r="H23" s="7">
        <v>0.31029843001593121</v>
      </c>
      <c r="I23" s="8">
        <v>23.272382251194841</v>
      </c>
      <c r="J23" s="7">
        <v>3.3171579157527262E-2</v>
      </c>
      <c r="K23" s="8">
        <v>2.1229810660817447</v>
      </c>
      <c r="L23" s="7">
        <v>4.0795005657320721E-2</v>
      </c>
      <c r="M23" s="8">
        <v>19.744782738143229</v>
      </c>
      <c r="N23" s="7"/>
      <c r="O23" s="8"/>
      <c r="P23" s="7">
        <v>0.12839000129220401</v>
      </c>
      <c r="Q23" s="8">
        <v>6.9330600697790175</v>
      </c>
      <c r="R23" s="7">
        <v>0.19116030192514619</v>
      </c>
      <c r="S23" s="8">
        <v>24.277358344493567</v>
      </c>
      <c r="T23" s="7"/>
      <c r="U23" s="8"/>
      <c r="V23" s="7">
        <v>0.57039222582710991</v>
      </c>
      <c r="W23" s="8">
        <v>8.5558833874066487</v>
      </c>
      <c r="X23" s="7">
        <v>0.6341256333409292</v>
      </c>
      <c r="Y23" s="8">
        <v>360.81748537098872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0.22277684438388975</v>
      </c>
      <c r="AM23" s="8">
        <v>18.04492439509507</v>
      </c>
      <c r="AN23" s="7"/>
      <c r="AO23" s="8"/>
      <c r="AP23" s="7">
        <v>2.5719852917306465E-2</v>
      </c>
      <c r="AQ23" s="8">
        <v>3.4721801438363729</v>
      </c>
      <c r="AR23" s="7"/>
      <c r="AS23" s="8"/>
      <c r="AT23" s="7">
        <v>0.34656056291047338</v>
      </c>
      <c r="AU23" s="8">
        <v>23.912678840822664</v>
      </c>
      <c r="AV23" s="7">
        <v>8.5103034508085165E-2</v>
      </c>
      <c r="AW23" s="8">
        <v>10.127261106462134</v>
      </c>
      <c r="AX23" s="7"/>
      <c r="AY23" s="8"/>
      <c r="AZ23" s="7"/>
      <c r="BA23" s="8"/>
      <c r="BB23" s="7"/>
      <c r="BC23" s="8"/>
      <c r="BD23" s="7"/>
      <c r="BE23" s="8"/>
      <c r="BF23" s="7">
        <v>2.9940676743108959E-2</v>
      </c>
      <c r="BG23" s="8">
        <v>3.1437710580264406</v>
      </c>
      <c r="BH23" s="7"/>
      <c r="BI23" s="8"/>
      <c r="BJ23" s="7">
        <v>0.11258506107770939</v>
      </c>
      <c r="BK23" s="8">
        <v>518.56679132392946</v>
      </c>
    </row>
    <row r="24" spans="1:63" x14ac:dyDescent="0.35">
      <c r="A24" s="6" t="s">
        <v>10</v>
      </c>
      <c r="B24" s="7">
        <v>0.18583976501216679</v>
      </c>
      <c r="C24" s="8">
        <v>7.6194303654988387</v>
      </c>
      <c r="D24" s="7"/>
      <c r="E24" s="8"/>
      <c r="F24" s="7">
        <v>0.20977388764571617</v>
      </c>
      <c r="G24" s="8">
        <v>4.824799415851472</v>
      </c>
      <c r="H24" s="7">
        <v>0.19281780812901478</v>
      </c>
      <c r="I24" s="8">
        <v>14.461335609676109</v>
      </c>
      <c r="J24" s="7"/>
      <c r="K24" s="8"/>
      <c r="L24" s="7">
        <v>3.6600508871713483E-2</v>
      </c>
      <c r="M24" s="8">
        <v>17.714646293909325</v>
      </c>
      <c r="N24" s="7"/>
      <c r="O24" s="8"/>
      <c r="P24" s="7">
        <v>1.3879366914831645E-2</v>
      </c>
      <c r="Q24" s="8">
        <v>0.74948581340090881</v>
      </c>
      <c r="R24" s="7"/>
      <c r="S24" s="8"/>
      <c r="T24" s="7"/>
      <c r="U24" s="8"/>
      <c r="V24" s="7">
        <v>0.12485210777589091</v>
      </c>
      <c r="W24" s="8">
        <v>1.8727816166383637</v>
      </c>
      <c r="X24" s="7"/>
      <c r="Y24" s="8"/>
      <c r="Z24" s="7"/>
      <c r="AA24" s="8"/>
      <c r="AB24" s="7"/>
      <c r="AC24" s="8"/>
      <c r="AD24" s="7"/>
      <c r="AE24" s="8"/>
      <c r="AF24" s="7">
        <v>7.9684009943928186E-2</v>
      </c>
      <c r="AG24" s="8">
        <v>116.01991847835943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3.5445592182660537E-2</v>
      </c>
      <c r="BK24" s="8">
        <v>163.26239759333444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9.6059365313669626E-2</v>
      </c>
      <c r="M25" s="10">
        <v>46.492732811816097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1.0093949807168063E-2</v>
      </c>
      <c r="BK25" s="10">
        <v>46.492732811816097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0.33322475495270637</v>
      </c>
      <c r="M26" s="10">
        <v>161.28078139710988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3.5015367216046436E-2</v>
      </c>
      <c r="BK26" s="10">
        <v>161.28078139710988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0.17497090578540253</v>
      </c>
      <c r="I27" s="10">
        <v>13.122817933905189</v>
      </c>
      <c r="J27" s="9">
        <v>4.4897262387211492E-2</v>
      </c>
      <c r="K27" s="10">
        <v>2.8734247927815355</v>
      </c>
      <c r="L27" s="9">
        <v>6.3731044394116781E-2</v>
      </c>
      <c r="M27" s="10">
        <v>30.845825486752524</v>
      </c>
      <c r="N27" s="9"/>
      <c r="O27" s="10"/>
      <c r="P27" s="9">
        <v>0.21545234370563648</v>
      </c>
      <c r="Q27" s="10">
        <v>11.634426560104369</v>
      </c>
      <c r="R27" s="9">
        <v>9.7680564805159714E-2</v>
      </c>
      <c r="S27" s="10">
        <v>12.405431730255284</v>
      </c>
      <c r="T27" s="9">
        <v>0.21107370785275342</v>
      </c>
      <c r="U27" s="10">
        <v>4.0104004492023151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8.0742007706012336E-2</v>
      </c>
      <c r="AG27" s="10">
        <v>117.56036321995396</v>
      </c>
      <c r="AH27" s="9"/>
      <c r="AI27" s="10"/>
      <c r="AJ27" s="9"/>
      <c r="AK27" s="10"/>
      <c r="AL27" s="9"/>
      <c r="AM27" s="10"/>
      <c r="AN27" s="9">
        <v>0.28393122858976816</v>
      </c>
      <c r="AO27" s="10">
        <v>70.414944690262502</v>
      </c>
      <c r="AP27" s="9">
        <v>6.5793136497627761E-2</v>
      </c>
      <c r="AQ27" s="10">
        <v>8.8820734271797477</v>
      </c>
      <c r="AR27" s="9"/>
      <c r="AS27" s="10"/>
      <c r="AT27" s="9"/>
      <c r="AU27" s="10"/>
      <c r="AV27" s="9">
        <v>0.273631505493794</v>
      </c>
      <c r="AW27" s="10">
        <v>32.562149153761489</v>
      </c>
      <c r="AX27" s="9">
        <v>7.2672513978701073E-2</v>
      </c>
      <c r="AY27" s="10">
        <v>3.9243157548498582</v>
      </c>
      <c r="AZ27" s="9">
        <v>9.8523467741847143E-2</v>
      </c>
      <c r="BA27" s="10">
        <v>6.4040254032200643</v>
      </c>
      <c r="BB27" s="9"/>
      <c r="BC27" s="10"/>
      <c r="BD27" s="9"/>
      <c r="BE27" s="10"/>
      <c r="BF27" s="9"/>
      <c r="BG27" s="10"/>
      <c r="BH27" s="9">
        <v>4.8740717723259892E-2</v>
      </c>
      <c r="BI27" s="10"/>
      <c r="BJ27" s="9">
        <v>7.0374433034794737E-2</v>
      </c>
      <c r="BK27" s="10">
        <v>324.14463855826455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5.083307883521631E-2</v>
      </c>
      <c r="M28" s="10">
        <v>24.603210156244693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/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>
        <v>9.5044399560356787</v>
      </c>
      <c r="BJ28" s="9">
        <v>5.3415566991412708E-3</v>
      </c>
      <c r="BK28" s="10">
        <v>24.603210156244693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2.6239015050100237E-2</v>
      </c>
      <c r="AG29" s="8">
        <v>38.204005912945945</v>
      </c>
      <c r="AH29" s="7"/>
      <c r="AI29" s="8"/>
      <c r="AJ29" s="7"/>
      <c r="AK29" s="8"/>
      <c r="AL29" s="7"/>
      <c r="AM29" s="8"/>
      <c r="AN29" s="7"/>
      <c r="AO29" s="8"/>
      <c r="AP29" s="7">
        <v>3.4423917577061862E-2</v>
      </c>
      <c r="AQ29" s="8">
        <v>4.6472288729033515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9.3033510173359309E-3</v>
      </c>
      <c r="BK29" s="8">
        <v>42.8512347858493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1.1446159003580621E-2</v>
      </c>
      <c r="AG30" s="10">
        <v>16.665607509213384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6.53321022399462E-3</v>
      </c>
      <c r="BK30" s="8">
        <v>30.091966291719221</v>
      </c>
    </row>
    <row r="31" spans="1:63" x14ac:dyDescent="0.35">
      <c r="A31" s="6" t="s">
        <v>12</v>
      </c>
      <c r="B31" s="9">
        <v>1.2800000000000001E-2</v>
      </c>
      <c r="C31" s="10">
        <v>0.52480000000000004</v>
      </c>
      <c r="D31" s="9">
        <v>0.8</v>
      </c>
      <c r="E31" s="10">
        <v>0.8</v>
      </c>
      <c r="F31" s="9">
        <v>0.63300000000000001</v>
      </c>
      <c r="G31" s="10">
        <v>14.559000000000001</v>
      </c>
      <c r="H31" s="9"/>
      <c r="I31" s="10"/>
      <c r="J31" s="9">
        <v>0.60316990672684323</v>
      </c>
      <c r="K31" s="10">
        <v>38.602874030517967</v>
      </c>
      <c r="L31" s="9"/>
      <c r="M31" s="10"/>
      <c r="N31" s="9">
        <v>0.92500000000000004</v>
      </c>
      <c r="O31" s="10">
        <v>14.8</v>
      </c>
      <c r="P31" s="9">
        <v>6.3324199120906186E-2</v>
      </c>
      <c r="Q31" s="10">
        <v>3.419506752528934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</v>
      </c>
      <c r="AF31" s="9"/>
      <c r="AG31" s="10"/>
      <c r="AH31" s="9">
        <v>0.68799999999999994</v>
      </c>
      <c r="AI31" s="10">
        <v>25.456</v>
      </c>
      <c r="AJ31" s="9">
        <v>0.75</v>
      </c>
      <c r="AK31" s="10"/>
      <c r="AL31" s="9">
        <v>0.99700000000000011</v>
      </c>
      <c r="AM31" s="10">
        <v>80.757000000000005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0.37407407407407411</v>
      </c>
      <c r="BC31" s="10">
        <v>10.100000000000001</v>
      </c>
      <c r="BD31" s="9">
        <v>3.7712892997988863E-2</v>
      </c>
      <c r="BE31" s="10">
        <v>6.2980531306641403</v>
      </c>
      <c r="BF31" s="9"/>
      <c r="BG31" s="10"/>
      <c r="BH31" s="9"/>
      <c r="BI31" s="10"/>
      <c r="BJ31" s="9">
        <v>4.3924714266980247E-2</v>
      </c>
      <c r="BK31" s="10">
        <v>202.31723391371102</v>
      </c>
    </row>
    <row r="32" spans="1:63" x14ac:dyDescent="0.35">
      <c r="A32" s="6" t="s">
        <v>13</v>
      </c>
      <c r="B32" s="7">
        <v>1.437105540999073E-3</v>
      </c>
      <c r="C32" s="8">
        <v>5.8921327180961991E-2</v>
      </c>
      <c r="D32" s="7"/>
      <c r="E32" s="8"/>
      <c r="F32" s="7"/>
      <c r="G32" s="8"/>
      <c r="H32" s="7">
        <v>6.4153886251632156E-3</v>
      </c>
      <c r="I32" s="8">
        <v>0.48115414688724117</v>
      </c>
      <c r="J32" s="7">
        <v>9.2716209338112796E-3</v>
      </c>
      <c r="K32" s="8">
        <v>0.59338373976392189</v>
      </c>
      <c r="L32" s="7">
        <v>2.0191591611344956E-2</v>
      </c>
      <c r="M32" s="8">
        <v>9.7727303398909591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4.4036883266804133E-2</v>
      </c>
      <c r="Y32" s="8">
        <v>25.056986578811554</v>
      </c>
      <c r="Z32" s="7"/>
      <c r="AA32" s="8"/>
      <c r="AB32" s="7"/>
      <c r="AC32" s="8"/>
      <c r="AD32" s="7"/>
      <c r="AE32" s="8"/>
      <c r="AF32" s="7">
        <v>1.5148081702242484E-2</v>
      </c>
      <c r="AG32" s="8">
        <v>22.055606958465056</v>
      </c>
      <c r="AH32" s="7"/>
      <c r="AI32" s="8"/>
      <c r="AJ32" s="7"/>
      <c r="AK32" s="8">
        <v>6</v>
      </c>
      <c r="AL32" s="7"/>
      <c r="AM32" s="8"/>
      <c r="AN32" s="7"/>
      <c r="AO32" s="8"/>
      <c r="AP32" s="7"/>
      <c r="AQ32" s="8"/>
      <c r="AR32" s="7"/>
      <c r="AS32" s="8"/>
      <c r="AT32" s="7">
        <v>1.7982258861753295E-2</v>
      </c>
      <c r="AU32" s="8">
        <v>1.2407758614609774</v>
      </c>
      <c r="AV32" s="7"/>
      <c r="AW32" s="8"/>
      <c r="AX32" s="7">
        <v>8.4553202099004673E-3</v>
      </c>
      <c r="AY32" s="8">
        <v>0.65951497637223644</v>
      </c>
      <c r="AZ32" s="7"/>
      <c r="BA32" s="8"/>
      <c r="BB32" s="7"/>
      <c r="BC32" s="8"/>
      <c r="BD32" s="7"/>
      <c r="BE32" s="8"/>
      <c r="BF32" s="7">
        <v>0.10343477071861569</v>
      </c>
      <c r="BG32" s="8">
        <v>10.860650925454648</v>
      </c>
      <c r="BH32" s="7">
        <v>4.9525010561601857E-4</v>
      </c>
      <c r="BI32" s="8">
        <v>9.657377059512362E-2</v>
      </c>
      <c r="BJ32" s="7">
        <v>2.1791329091387177E-2</v>
      </c>
      <c r="BK32" s="8">
        <v>100.37086179492934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0.81392077223100234</v>
      </c>
      <c r="AC33" s="8">
        <v>157.08670904058346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3.4104800052232626E-2</v>
      </c>
      <c r="BK33" s="8">
        <v>157.08670904058346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2E-3</v>
      </c>
      <c r="F34" s="11"/>
      <c r="G34" s="17"/>
      <c r="H34" s="11">
        <v>1.0999999999999999E-2</v>
      </c>
      <c r="I34" s="17">
        <f>H34*H21</f>
        <v>0.82499999999999996</v>
      </c>
      <c r="J34" s="11">
        <v>3.0000000000000001E-3</v>
      </c>
      <c r="K34" s="17">
        <f>J34*J21</f>
        <v>0.192</v>
      </c>
      <c r="L34" s="11"/>
      <c r="M34" s="12"/>
      <c r="N34" s="11"/>
      <c r="O34" s="12"/>
      <c r="P34" s="11">
        <v>1E-3</v>
      </c>
      <c r="Q34" s="17">
        <f>P34*P21</f>
        <v>5.3999999999999999E-2</v>
      </c>
      <c r="R34" s="11"/>
      <c r="S34" s="17"/>
      <c r="T34" s="11"/>
      <c r="U34" s="12"/>
      <c r="V34" s="11">
        <v>1.6E-2</v>
      </c>
      <c r="W34" s="17">
        <f>V34*V21</f>
        <v>0.24</v>
      </c>
      <c r="X34" s="11">
        <v>4.2999999999999997E-2</v>
      </c>
      <c r="Y34" s="17">
        <f>X34*X21</f>
        <v>24.466999999999999</v>
      </c>
      <c r="Z34" s="11">
        <v>0.82499999999999996</v>
      </c>
      <c r="AA34" s="17">
        <f>Z34*Z21</f>
        <v>4.9499999999999993</v>
      </c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>
        <v>7.0000000000000001E-3</v>
      </c>
      <c r="AM34" s="17">
        <f>AL34*AL21</f>
        <v>0.56700000000000006</v>
      </c>
      <c r="AN34" s="11"/>
      <c r="AO34" s="12"/>
      <c r="AP34" s="11">
        <v>5.0000000000000001E-3</v>
      </c>
      <c r="AQ34" s="17">
        <f>AP34*AP21</f>
        <v>0.67500000000000004</v>
      </c>
      <c r="AR34" s="11"/>
      <c r="AS34" s="12"/>
      <c r="AT34" s="11">
        <v>1.9E-2</v>
      </c>
      <c r="AU34" s="17">
        <f>AT34*AT21</f>
        <v>1.3109999999999999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0.52500000000000002</v>
      </c>
      <c r="BH34" s="11"/>
      <c r="BI34" s="12"/>
      <c r="BJ34" s="11">
        <v>2.4782909264674163E-2</v>
      </c>
      <c r="BK34" s="12">
        <v>114.1500800730892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5.6069473286766001E-2</v>
      </c>
      <c r="Y35" s="8">
        <v>31.903530300169855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6.9265154798458222E-3</v>
      </c>
      <c r="BK35" s="8">
        <v>31.903530300169855</v>
      </c>
    </row>
    <row r="36" spans="1:63" x14ac:dyDescent="0.3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5.8801619563493841E-2</v>
      </c>
      <c r="AG36" s="8">
        <v>85.615158084447032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1.8587746001833921E-2</v>
      </c>
      <c r="BK36" s="8">
        <v>85.615158084447032</v>
      </c>
    </row>
    <row r="37" spans="1:63" ht="58" x14ac:dyDescent="0.3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0.26973601596793673</v>
      </c>
      <c r="BK37" s="8">
        <v>1242.4040895483165</v>
      </c>
    </row>
    <row r="38" spans="1:63" ht="43.5" x14ac:dyDescent="0.3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0.1480322825877588</v>
      </c>
      <c r="BK38" s="8">
        <v>681.83669359921703</v>
      </c>
    </row>
    <row r="39" spans="1:63" x14ac:dyDescent="0.35">
      <c r="A39" s="6" t="s">
        <v>204</v>
      </c>
      <c r="B39" s="13">
        <v>0.32348222173057561</v>
      </c>
      <c r="C39" s="14">
        <v>13.262771090953601</v>
      </c>
      <c r="D39" s="13">
        <v>0.84644972690206943</v>
      </c>
      <c r="E39" s="14">
        <v>0.84644972690206943</v>
      </c>
      <c r="F39" s="13">
        <v>0.80419386721174113</v>
      </c>
      <c r="G39" s="14">
        <v>18.496458945870046</v>
      </c>
      <c r="H39" s="13">
        <v>0.54866065054147173</v>
      </c>
      <c r="I39" s="14">
        <v>41.149548790610382</v>
      </c>
      <c r="J39" s="13">
        <v>0.63804560107556085</v>
      </c>
      <c r="K39" s="14">
        <v>40.834918468835895</v>
      </c>
      <c r="L39" s="13">
        <v>0.51502248791580774</v>
      </c>
      <c r="M39" s="14">
        <v>249.27088415125095</v>
      </c>
      <c r="N39" s="13">
        <v>0.92500000000000004</v>
      </c>
      <c r="O39" s="14">
        <v>14.8</v>
      </c>
      <c r="P39" s="13">
        <v>0.36900434693325734</v>
      </c>
      <c r="Q39" s="14">
        <v>19.926234734395898</v>
      </c>
      <c r="R39" s="13">
        <v>0.27016822046993283</v>
      </c>
      <c r="S39" s="14">
        <v>34.311363999681468</v>
      </c>
      <c r="T39" s="13">
        <v>0.21107370785275337</v>
      </c>
      <c r="U39" s="14">
        <v>4.0104004492023142</v>
      </c>
      <c r="V39" s="13">
        <v>0.63004518735831216</v>
      </c>
      <c r="W39" s="14">
        <v>9.4506778103746818</v>
      </c>
      <c r="X39" s="13">
        <v>0.68404510412576047</v>
      </c>
      <c r="Y39" s="14">
        <v>389.22166424755773</v>
      </c>
      <c r="Z39" s="13">
        <v>0.82499999999999996</v>
      </c>
      <c r="AA39" s="14">
        <v>4.9499999999999993</v>
      </c>
      <c r="AB39" s="13">
        <v>0.81392077223100234</v>
      </c>
      <c r="AC39" s="14">
        <v>157.08670904058346</v>
      </c>
      <c r="AD39" s="13">
        <v>1</v>
      </c>
      <c r="AE39" s="14">
        <v>1</v>
      </c>
      <c r="AF39" s="13">
        <v>0.24511779738918227</v>
      </c>
      <c r="AG39" s="14">
        <v>356.89151299864938</v>
      </c>
      <c r="AH39" s="13">
        <v>0.68799999999999994</v>
      </c>
      <c r="AI39" s="14">
        <v>25.456</v>
      </c>
      <c r="AJ39" s="13">
        <v>0.75</v>
      </c>
      <c r="AK39" s="14">
        <v>6</v>
      </c>
      <c r="AL39" s="13">
        <v>0.99768465221941971</v>
      </c>
      <c r="AM39" s="14">
        <v>80.812456829772998</v>
      </c>
      <c r="AN39" s="13">
        <v>0.28393122858976816</v>
      </c>
      <c r="AO39" s="14">
        <v>70.414944690262502</v>
      </c>
      <c r="AP39" s="13">
        <v>0.12554696972846413</v>
      </c>
      <c r="AQ39" s="14">
        <v>16.948840913342657</v>
      </c>
      <c r="AR39" s="13">
        <v>0</v>
      </c>
      <c r="AS39" s="14" t="s">
        <v>68</v>
      </c>
      <c r="AT39" s="13">
        <v>0.37050297329834037</v>
      </c>
      <c r="AU39" s="14">
        <v>25.564705157585486</v>
      </c>
      <c r="AV39" s="13">
        <v>0.33544766854734154</v>
      </c>
      <c r="AW39" s="14">
        <v>39.918272557133641</v>
      </c>
      <c r="AX39" s="13">
        <v>8.0513364812453192E-2</v>
      </c>
      <c r="AY39" s="14">
        <v>4.3477216998724728</v>
      </c>
      <c r="AZ39" s="13">
        <v>9.852346774184717E-2</v>
      </c>
      <c r="BA39" s="14">
        <v>6.4040254032200661</v>
      </c>
      <c r="BB39" s="13">
        <v>0.37407407407407411</v>
      </c>
      <c r="BC39" s="14">
        <v>10.100000000000001</v>
      </c>
      <c r="BD39" s="13">
        <v>3.7712892997988856E-2</v>
      </c>
      <c r="BE39" s="14">
        <v>5.5437952707043614</v>
      </c>
      <c r="BF39" s="13">
        <v>0.13462714772550277</v>
      </c>
      <c r="BG39" s="14">
        <v>14.135850511177791</v>
      </c>
      <c r="BH39" s="13">
        <v>4.9211828983275696E-2</v>
      </c>
      <c r="BI39" s="14">
        <v>9.596306651738761</v>
      </c>
      <c r="BJ39" s="13">
        <v>0.36110175336009487</v>
      </c>
      <c r="BK39" s="14">
        <v>1663.2346759765969</v>
      </c>
    </row>
    <row r="40" spans="1:63" s="15" customFormat="1" ht="63" customHeight="1" x14ac:dyDescent="0.35">
      <c r="A40" s="1" t="s">
        <v>25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82</v>
      </c>
      <c r="C42" s="65"/>
      <c r="D42" s="65">
        <v>6</v>
      </c>
      <c r="E42" s="65"/>
      <c r="F42" s="65">
        <v>95</v>
      </c>
      <c r="G42" s="65"/>
      <c r="H42" s="65">
        <v>204</v>
      </c>
      <c r="I42" s="65"/>
      <c r="J42" s="65">
        <v>200</v>
      </c>
      <c r="K42" s="65"/>
      <c r="L42" s="65">
        <v>1121</v>
      </c>
      <c r="M42" s="65"/>
      <c r="N42" s="65">
        <v>22</v>
      </c>
      <c r="O42" s="65"/>
      <c r="P42" s="65">
        <v>134</v>
      </c>
      <c r="Q42" s="65"/>
      <c r="R42" s="65">
        <v>273</v>
      </c>
      <c r="S42" s="65"/>
      <c r="T42" s="65">
        <v>20</v>
      </c>
      <c r="U42" s="65"/>
      <c r="V42" s="65">
        <v>84</v>
      </c>
      <c r="W42" s="65"/>
      <c r="X42" s="65">
        <v>1240</v>
      </c>
      <c r="Y42" s="65"/>
      <c r="Z42" s="65">
        <v>42</v>
      </c>
      <c r="AA42" s="65"/>
      <c r="AB42" s="65">
        <v>402</v>
      </c>
      <c r="AC42" s="65"/>
      <c r="AD42" s="65">
        <v>4</v>
      </c>
      <c r="AE42" s="65"/>
      <c r="AF42" s="65">
        <v>1468</v>
      </c>
      <c r="AG42" s="65"/>
      <c r="AH42" s="65">
        <v>37</v>
      </c>
      <c r="AI42" s="65"/>
      <c r="AJ42" s="65">
        <v>8</v>
      </c>
      <c r="AK42" s="65"/>
      <c r="AL42" s="65">
        <v>81</v>
      </c>
      <c r="AM42" s="65"/>
      <c r="AN42" s="65">
        <v>248</v>
      </c>
      <c r="AO42" s="65"/>
      <c r="AP42" s="65">
        <v>135</v>
      </c>
      <c r="AQ42" s="65"/>
      <c r="AR42" s="65">
        <v>20</v>
      </c>
      <c r="AS42" s="65"/>
      <c r="AT42" s="65">
        <v>213</v>
      </c>
      <c r="AU42" s="65"/>
      <c r="AV42" s="65">
        <v>347</v>
      </c>
      <c r="AW42" s="65"/>
      <c r="AX42" s="65">
        <v>77</v>
      </c>
      <c r="AY42" s="65"/>
      <c r="AZ42" s="65">
        <v>143</v>
      </c>
      <c r="BA42" s="65"/>
      <c r="BB42" s="65">
        <v>62</v>
      </c>
      <c r="BC42" s="65"/>
      <c r="BD42" s="65">
        <v>325</v>
      </c>
      <c r="BE42" s="65"/>
      <c r="BF42" s="65">
        <v>225</v>
      </c>
      <c r="BG42" s="65"/>
      <c r="BH42" s="65">
        <v>371</v>
      </c>
      <c r="BI42" s="65"/>
      <c r="BJ42" s="65">
        <v>9256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0.16679113828992967</v>
      </c>
      <c r="C44" s="8">
        <v>13.676873339774232</v>
      </c>
      <c r="D44" s="7">
        <v>0.27054348242792658</v>
      </c>
      <c r="E44" s="8">
        <v>1.6232608945675595</v>
      </c>
      <c r="F44" s="7">
        <v>0.37812403454126209</v>
      </c>
      <c r="G44" s="8">
        <v>35.921783281419899</v>
      </c>
      <c r="H44" s="7">
        <v>0.30293836996958873</v>
      </c>
      <c r="I44" s="8">
        <v>61.799427473796101</v>
      </c>
      <c r="J44" s="7">
        <v>0.1443083533296281</v>
      </c>
      <c r="K44" s="8">
        <v>28.861670665925622</v>
      </c>
      <c r="L44" s="7">
        <v>5.5704761117423472E-2</v>
      </c>
      <c r="M44" s="8">
        <v>62.445037212631711</v>
      </c>
      <c r="N44" s="7"/>
      <c r="O44" s="8"/>
      <c r="P44" s="7">
        <v>0.18518907706363233</v>
      </c>
      <c r="Q44" s="8">
        <v>24.815336326526733</v>
      </c>
      <c r="R44" s="7">
        <v>0.21863772383730848</v>
      </c>
      <c r="S44" s="8">
        <v>59.688098607585218</v>
      </c>
      <c r="T44" s="7"/>
      <c r="U44" s="8"/>
      <c r="V44" s="7">
        <v>0.63470815537359693</v>
      </c>
      <c r="W44" s="8">
        <v>53.31548505138214</v>
      </c>
      <c r="X44" s="7">
        <v>0.68663904606688142</v>
      </c>
      <c r="Y44" s="8">
        <v>851.43241712293297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0.22277684438388975</v>
      </c>
      <c r="AM44" s="8">
        <v>18.04492439509507</v>
      </c>
      <c r="AN44" s="7"/>
      <c r="AO44" s="8"/>
      <c r="AP44" s="7">
        <v>2.5719852917306465E-2</v>
      </c>
      <c r="AQ44" s="8">
        <v>3.4721801438363729</v>
      </c>
      <c r="AR44" s="7"/>
      <c r="AS44" s="8"/>
      <c r="AT44" s="7">
        <v>0.40735102422663838</v>
      </c>
      <c r="AU44" s="8">
        <v>86.765768160273979</v>
      </c>
      <c r="AV44" s="7">
        <v>0.11506375407178844</v>
      </c>
      <c r="AW44" s="8">
        <v>39.927122662910591</v>
      </c>
      <c r="AX44" s="7"/>
      <c r="AY44" s="8"/>
      <c r="AZ44" s="7"/>
      <c r="BA44" s="8"/>
      <c r="BB44" s="7"/>
      <c r="BC44" s="8"/>
      <c r="BD44" s="7"/>
      <c r="BE44" s="8"/>
      <c r="BF44" s="7">
        <v>3.0039120880733357E-2</v>
      </c>
      <c r="BG44" s="8">
        <v>6.7588021981650055</v>
      </c>
      <c r="BH44" s="7"/>
      <c r="BI44" s="8"/>
      <c r="BJ44" s="7">
        <v>0.14569448871400423</v>
      </c>
      <c r="BK44" s="8">
        <v>1348.5481875368232</v>
      </c>
    </row>
    <row r="45" spans="1:63" x14ac:dyDescent="0.35">
      <c r="A45" s="6" t="s">
        <v>10</v>
      </c>
      <c r="B45" s="7">
        <v>0.35263541818469712</v>
      </c>
      <c r="C45" s="8">
        <v>50.426864800411693</v>
      </c>
      <c r="D45" s="7"/>
      <c r="E45" s="8"/>
      <c r="F45" s="7">
        <v>0.37493303665286909</v>
      </c>
      <c r="G45" s="8">
        <v>35.618638482022561</v>
      </c>
      <c r="H45" s="7">
        <v>0.13187012001976517</v>
      </c>
      <c r="I45" s="8">
        <v>26.901504484032095</v>
      </c>
      <c r="J45" s="7"/>
      <c r="K45" s="8"/>
      <c r="L45" s="7">
        <v>6.3120740407786563E-2</v>
      </c>
      <c r="M45" s="8">
        <v>70.758349997128732</v>
      </c>
      <c r="N45" s="7"/>
      <c r="O45" s="8"/>
      <c r="P45" s="7">
        <v>6.2966011675251787E-2</v>
      </c>
      <c r="Q45" s="8">
        <v>8.4374455644837401</v>
      </c>
      <c r="R45" s="7"/>
      <c r="S45" s="8"/>
      <c r="T45" s="7"/>
      <c r="U45" s="8"/>
      <c r="V45" s="7">
        <v>0.222092538075225</v>
      </c>
      <c r="W45" s="8">
        <v>18.655773198318901</v>
      </c>
      <c r="X45" s="7"/>
      <c r="Y45" s="8"/>
      <c r="Z45" s="7"/>
      <c r="AA45" s="8"/>
      <c r="AB45" s="7"/>
      <c r="AC45" s="8"/>
      <c r="AD45" s="7"/>
      <c r="AE45" s="8"/>
      <c r="AF45" s="7">
        <v>7.9032642015231219E-2</v>
      </c>
      <c r="AG45" s="8">
        <v>116.01991847835943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3.5308826167324676E-2</v>
      </c>
      <c r="BK45" s="8">
        <v>326.81849500475721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0.14155479938503993</v>
      </c>
      <c r="M46" s="10">
        <v>158.68293011062977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1.7143791066403388E-2</v>
      </c>
      <c r="BK46" s="10">
        <v>158.68293011062977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0.29653330252814158</v>
      </c>
      <c r="M47" s="10">
        <v>332.41383213404674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3.5913335364525359E-2</v>
      </c>
      <c r="BK47" s="10">
        <v>332.41383213404674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0.23987943085064051</v>
      </c>
      <c r="I48" s="10">
        <v>48.935403893530662</v>
      </c>
      <c r="J48" s="9">
        <v>6.1123066021690063E-2</v>
      </c>
      <c r="K48" s="10">
        <v>12.224613204338013</v>
      </c>
      <c r="L48" s="9">
        <v>0.11595155198476891</v>
      </c>
      <c r="M48" s="10">
        <v>129.98168977492594</v>
      </c>
      <c r="N48" s="9"/>
      <c r="O48" s="10"/>
      <c r="P48" s="9">
        <v>0.23007700568872305</v>
      </c>
      <c r="Q48" s="10">
        <v>30.83031876228889</v>
      </c>
      <c r="R48" s="9">
        <v>0.12105294998559563</v>
      </c>
      <c r="S48" s="10">
        <v>0.12105294998559563</v>
      </c>
      <c r="T48" s="9">
        <v>0.20688238936533482</v>
      </c>
      <c r="U48" s="10">
        <v>4.1376477873066966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8.0742007706012336E-2</v>
      </c>
      <c r="AG48" s="10">
        <v>117.56036321995396</v>
      </c>
      <c r="AH48" s="9"/>
      <c r="AI48" s="10"/>
      <c r="AJ48" s="9"/>
      <c r="AK48" s="10"/>
      <c r="AL48" s="9"/>
      <c r="AM48" s="10"/>
      <c r="AN48" s="9">
        <v>0.28393122858976816</v>
      </c>
      <c r="AO48" s="10">
        <v>70.414944690262502</v>
      </c>
      <c r="AP48" s="9">
        <v>6.5793136497627761E-2</v>
      </c>
      <c r="AQ48" s="10">
        <v>8.8820734271797477</v>
      </c>
      <c r="AR48" s="9"/>
      <c r="AS48" s="10"/>
      <c r="AT48" s="9"/>
      <c r="AU48" s="10"/>
      <c r="AV48" s="9">
        <v>0.23429865272573783</v>
      </c>
      <c r="AW48" s="10">
        <v>81.301632495831029</v>
      </c>
      <c r="AX48" s="9">
        <v>8.2499594152054878E-2</v>
      </c>
      <c r="AY48" s="10">
        <v>6.3524687497082253</v>
      </c>
      <c r="AZ48" s="9">
        <v>0.1335662328340827</v>
      </c>
      <c r="BA48" s="10">
        <v>19.099971295273825</v>
      </c>
      <c r="BB48" s="9"/>
      <c r="BC48" s="10"/>
      <c r="BD48" s="9"/>
      <c r="BE48" s="10"/>
      <c r="BF48" s="9"/>
      <c r="BG48" s="10"/>
      <c r="BH48" s="9">
        <v>2.5618436539179727E-2</v>
      </c>
      <c r="BI48" s="10">
        <v>9.5044399560356787</v>
      </c>
      <c r="BJ48" s="9">
        <v>6.1827249632962704E-2</v>
      </c>
      <c r="BK48" s="10">
        <v>572.27302260270278</v>
      </c>
    </row>
    <row r="49" spans="1:63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4.5940956236934935E-2</v>
      </c>
      <c r="M49" s="10">
        <v>51.499811941604065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/>
      <c r="AG49" s="10"/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5.5639381959382093E-3</v>
      </c>
      <c r="BK49" s="10">
        <v>51.499811941604065</v>
      </c>
    </row>
    <row r="50" spans="1:63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2.6024527188655278E-2</v>
      </c>
      <c r="AG50" s="8">
        <v>38.204005912945945</v>
      </c>
      <c r="AH50" s="7"/>
      <c r="AI50" s="8"/>
      <c r="AJ50" s="7"/>
      <c r="AK50" s="8"/>
      <c r="AL50" s="7"/>
      <c r="AM50" s="8"/>
      <c r="AN50" s="7"/>
      <c r="AO50" s="8"/>
      <c r="AP50" s="7">
        <v>3.4423917577061862E-2</v>
      </c>
      <c r="AQ50" s="8">
        <v>4.6472288729033515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4.629562963034713E-3</v>
      </c>
      <c r="BK50" s="8">
        <v>42.8512347858493</v>
      </c>
    </row>
    <row r="51" spans="1:63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1.1352593671126284E-2</v>
      </c>
      <c r="AG51" s="10">
        <v>16.665607509213384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3.2510767385176341E-3</v>
      </c>
      <c r="BK51" s="8">
        <v>30.091966291719221</v>
      </c>
    </row>
    <row r="52" spans="1:63" x14ac:dyDescent="0.35">
      <c r="A52" s="6" t="s">
        <v>12</v>
      </c>
      <c r="B52" s="9">
        <v>1.2800000000000001E-2</v>
      </c>
      <c r="C52" s="10">
        <v>1.8304</v>
      </c>
      <c r="D52" s="9">
        <v>0.79999999999999993</v>
      </c>
      <c r="E52" s="10">
        <v>4.8</v>
      </c>
      <c r="F52" s="9">
        <v>0.70196842105263157</v>
      </c>
      <c r="G52" s="10">
        <v>66.686999999999998</v>
      </c>
      <c r="H52" s="9"/>
      <c r="I52" s="10"/>
      <c r="J52" s="9">
        <v>0.55337785252543636</v>
      </c>
      <c r="K52" s="10">
        <v>110.67557050508728</v>
      </c>
      <c r="L52" s="9"/>
      <c r="M52" s="10"/>
      <c r="N52" s="9">
        <v>0.91463636363636358</v>
      </c>
      <c r="O52" s="10">
        <v>20.122</v>
      </c>
      <c r="P52" s="9">
        <v>7.2150492477756512E-2</v>
      </c>
      <c r="Q52" s="10">
        <v>9.6681659920193734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4</v>
      </c>
      <c r="AF52" s="9"/>
      <c r="AG52" s="10"/>
      <c r="AH52" s="9">
        <v>0.68799999999999994</v>
      </c>
      <c r="AI52" s="10">
        <v>25.456</v>
      </c>
      <c r="AJ52" s="9">
        <v>0.75</v>
      </c>
      <c r="AK52" s="10">
        <v>6</v>
      </c>
      <c r="AL52" s="9">
        <v>0.99700000000000011</v>
      </c>
      <c r="AM52" s="10">
        <v>80.757000000000005</v>
      </c>
      <c r="AN52" s="9"/>
      <c r="AO52" s="10"/>
      <c r="AP52" s="9"/>
      <c r="AQ52" s="10"/>
      <c r="AR52" s="9">
        <v>0.63300000000000001</v>
      </c>
      <c r="AS52" s="10">
        <v>12.66</v>
      </c>
      <c r="AT52" s="9"/>
      <c r="AU52" s="10"/>
      <c r="AV52" s="9"/>
      <c r="AW52" s="10"/>
      <c r="AX52" s="9"/>
      <c r="AY52" s="10"/>
      <c r="AZ52" s="9"/>
      <c r="BA52" s="10"/>
      <c r="BB52" s="9">
        <v>0.39903225806451614</v>
      </c>
      <c r="BC52" s="10">
        <v>24.740000000000002</v>
      </c>
      <c r="BD52" s="9">
        <v>3.8179019215154611E-2</v>
      </c>
      <c r="BE52" s="10">
        <v>13.095403590798032</v>
      </c>
      <c r="BF52" s="9"/>
      <c r="BG52" s="10"/>
      <c r="BH52" s="9"/>
      <c r="BI52" s="10"/>
      <c r="BJ52" s="9">
        <v>4.1107569730175521E-2</v>
      </c>
      <c r="BK52" s="10">
        <v>380.49166542250464</v>
      </c>
    </row>
    <row r="53" spans="1:63" x14ac:dyDescent="0.35">
      <c r="A53" s="6" t="s">
        <v>13</v>
      </c>
      <c r="B53" s="7">
        <v>1.437105540999073E-3</v>
      </c>
      <c r="C53" s="8">
        <v>0.20550609236286743</v>
      </c>
      <c r="D53" s="7"/>
      <c r="E53" s="8"/>
      <c r="F53" s="7"/>
      <c r="G53" s="8"/>
      <c r="H53" s="7">
        <v>4.5183298016338034E-3</v>
      </c>
      <c r="I53" s="8">
        <v>0.92173927953329593</v>
      </c>
      <c r="J53" s="7">
        <v>5.8716209338112793E-3</v>
      </c>
      <c r="K53" s="8">
        <v>1.1743241867622558</v>
      </c>
      <c r="L53" s="7">
        <v>1.5579711666602016E-2</v>
      </c>
      <c r="M53" s="8">
        <v>17.464856778260859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4.1959660638839748E-2</v>
      </c>
      <c r="Y53" s="8">
        <v>52.029979192161285</v>
      </c>
      <c r="Z53" s="7"/>
      <c r="AA53" s="8"/>
      <c r="AB53" s="7"/>
      <c r="AC53" s="8"/>
      <c r="AD53" s="7"/>
      <c r="AE53" s="8"/>
      <c r="AF53" s="7">
        <v>1.50290870967573E-2</v>
      </c>
      <c r="AG53" s="8">
        <v>22.062699858039718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2.0010427875837802E-2</v>
      </c>
      <c r="AU53" s="8">
        <v>4.2622211375534516</v>
      </c>
      <c r="AV53" s="7"/>
      <c r="AW53" s="8"/>
      <c r="AX53" s="7">
        <v>7.5444291207915556E-3</v>
      </c>
      <c r="AY53" s="8">
        <v>0.76198734119994715</v>
      </c>
      <c r="AZ53" s="7"/>
      <c r="BA53" s="8"/>
      <c r="BB53" s="7"/>
      <c r="BC53" s="8"/>
      <c r="BD53" s="7"/>
      <c r="BE53" s="8"/>
      <c r="BF53" s="7">
        <v>9.840555025748958E-2</v>
      </c>
      <c r="BG53" s="8">
        <v>10.860650925454648</v>
      </c>
      <c r="BH53" s="7">
        <v>4.9525010561601857E-4</v>
      </c>
      <c r="BI53" s="8">
        <v>0.18373778918354289</v>
      </c>
      <c r="BJ53" s="7">
        <v>1.9471355378386467E-2</v>
      </c>
      <c r="BK53" s="8">
        <v>180.22686538234515</v>
      </c>
    </row>
    <row r="54" spans="1:63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0.8247819379652781</v>
      </c>
      <c r="AC54" s="8">
        <v>331.56233906204181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3.5821341730989824E-2</v>
      </c>
      <c r="BK54" s="8">
        <v>331.56233906204181</v>
      </c>
    </row>
    <row r="55" spans="1:63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0.03</v>
      </c>
      <c r="F55" s="11"/>
      <c r="G55" s="17"/>
      <c r="H55" s="11">
        <v>2.5999999999999999E-2</v>
      </c>
      <c r="I55" s="17">
        <f>H55*H42</f>
        <v>5.3039999999999994</v>
      </c>
      <c r="J55" s="11">
        <v>0.02</v>
      </c>
      <c r="K55" s="17">
        <f>J55*J42</f>
        <v>4</v>
      </c>
      <c r="L55" s="11"/>
      <c r="M55" s="12"/>
      <c r="N55" s="11"/>
      <c r="O55" s="12"/>
      <c r="P55" s="11">
        <v>2E-3</v>
      </c>
      <c r="Q55" s="17">
        <f>P55*P42</f>
        <v>0.26800000000000002</v>
      </c>
      <c r="R55" s="11"/>
      <c r="S55" s="17"/>
      <c r="T55" s="11"/>
      <c r="U55" s="12"/>
      <c r="V55" s="11">
        <v>2.7E-2</v>
      </c>
      <c r="W55" s="17">
        <f>V55*V42</f>
        <v>2.2679999999999998</v>
      </c>
      <c r="X55" s="11">
        <v>0.13200000000000001</v>
      </c>
      <c r="Y55" s="17">
        <f>X55*X42</f>
        <v>163.68</v>
      </c>
      <c r="Z55" s="11">
        <v>0.94399999999999995</v>
      </c>
      <c r="AA55" s="17">
        <f>Z55*Z42</f>
        <v>39.647999999999996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7">
        <f>AL55*AL42</f>
        <v>0.56700000000000006</v>
      </c>
      <c r="AN55" s="11"/>
      <c r="AO55" s="12"/>
      <c r="AP55" s="11">
        <v>5.0000000000000001E-3</v>
      </c>
      <c r="AQ55" s="17">
        <f>AP55*AP42</f>
        <v>0.67500000000000004</v>
      </c>
      <c r="AR55" s="11"/>
      <c r="AS55" s="12"/>
      <c r="AT55" s="11">
        <v>5.7000000000000002E-2</v>
      </c>
      <c r="AU55" s="17">
        <f>AT55*AT42</f>
        <v>12.141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1.575</v>
      </c>
      <c r="BH55" s="11"/>
      <c r="BI55" s="12"/>
      <c r="BJ55" s="11">
        <v>3.8127552714883328E-2</v>
      </c>
      <c r="BK55" s="12">
        <v>352.90862792896007</v>
      </c>
    </row>
    <row r="56" spans="1:63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5.6069473286766001E-2</v>
      </c>
      <c r="Y56" s="8">
        <v>69.526146875589845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7.5114678992642446E-3</v>
      </c>
      <c r="BK56" s="8">
        <v>69.526146875589845</v>
      </c>
    </row>
    <row r="57" spans="1:63" x14ac:dyDescent="0.3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5.832095237360152E-2</v>
      </c>
      <c r="AG57" s="8">
        <v>85.615158084447032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9.2496929650439756E-3</v>
      </c>
      <c r="BK57" s="8">
        <v>85.615158084447032</v>
      </c>
    </row>
    <row r="58" spans="1:63" ht="58" x14ac:dyDescent="0.3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0.29753487441256998</v>
      </c>
      <c r="BK58" s="8">
        <v>2753.9827975627477</v>
      </c>
    </row>
    <row r="59" spans="1:63" ht="43.5" x14ac:dyDescent="0.3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0.14718654076899251</v>
      </c>
      <c r="BK59" s="8">
        <v>1362.3586213577946</v>
      </c>
    </row>
    <row r="60" spans="1:63" x14ac:dyDescent="0.35">
      <c r="A60" s="6" t="s">
        <v>204</v>
      </c>
      <c r="B60" s="13">
        <v>0.46827952264750872</v>
      </c>
      <c r="C60" s="14">
        <v>38.398920857095717</v>
      </c>
      <c r="D60" s="13">
        <v>0.85483815300315735</v>
      </c>
      <c r="E60" s="14">
        <v>5.1290289180189443</v>
      </c>
      <c r="F60" s="13">
        <v>0.88415091666748002</v>
      </c>
      <c r="G60" s="14">
        <v>83.994337083410599</v>
      </c>
      <c r="H60" s="13">
        <v>0.5540043822992271</v>
      </c>
      <c r="I60" s="14">
        <v>113.01689398904233</v>
      </c>
      <c r="J60" s="13">
        <v>0.65042950883186834</v>
      </c>
      <c r="K60" s="14">
        <v>130.08590176637367</v>
      </c>
      <c r="L60" s="13">
        <v>0.55641237838917901</v>
      </c>
      <c r="M60" s="14">
        <v>623.73827617426969</v>
      </c>
      <c r="N60" s="13">
        <v>0.91463636363636358</v>
      </c>
      <c r="O60" s="14">
        <v>20.122</v>
      </c>
      <c r="P60" s="13">
        <v>0.45566337092280873</v>
      </c>
      <c r="Q60" s="14">
        <v>61.058891703656371</v>
      </c>
      <c r="R60" s="13">
        <v>0.31322393237426194</v>
      </c>
      <c r="S60" s="14">
        <v>85.510133538173505</v>
      </c>
      <c r="T60" s="13">
        <v>0.20688238936533487</v>
      </c>
      <c r="U60" s="14">
        <v>4.1376477873066975</v>
      </c>
      <c r="V60" s="13">
        <v>0.7235091560811644</v>
      </c>
      <c r="W60" s="14">
        <v>60.774769110817807</v>
      </c>
      <c r="X60" s="13">
        <v>0.75402643640267719</v>
      </c>
      <c r="Y60" s="14">
        <v>934.99278113931973</v>
      </c>
      <c r="Z60" s="13">
        <v>0.94399999999999995</v>
      </c>
      <c r="AA60" s="14">
        <v>39.647999999999996</v>
      </c>
      <c r="AB60" s="13">
        <v>0.8247819379652781</v>
      </c>
      <c r="AC60" s="14">
        <v>331.56233906204181</v>
      </c>
      <c r="AD60" s="13">
        <v>1</v>
      </c>
      <c r="AE60" s="14">
        <v>4</v>
      </c>
      <c r="AF60" s="13">
        <v>0.24386835028318921</v>
      </c>
      <c r="AG60" s="14">
        <v>357.99873821572174</v>
      </c>
      <c r="AH60" s="13">
        <v>0.68799999999999994</v>
      </c>
      <c r="AI60" s="14">
        <v>25.456</v>
      </c>
      <c r="AJ60" s="13">
        <v>0.75</v>
      </c>
      <c r="AK60" s="14">
        <v>6</v>
      </c>
      <c r="AL60" s="13">
        <v>0.99768465221941971</v>
      </c>
      <c r="AM60" s="14">
        <v>80.812456829772998</v>
      </c>
      <c r="AN60" s="13">
        <v>0.28393122858976816</v>
      </c>
      <c r="AO60" s="14">
        <v>70.414944690262502</v>
      </c>
      <c r="AP60" s="13">
        <v>0.12554696972846413</v>
      </c>
      <c r="AQ60" s="14">
        <v>16.948840913342657</v>
      </c>
      <c r="AR60" s="13">
        <v>0.63300000000000001</v>
      </c>
      <c r="AS60" s="14">
        <v>12.66</v>
      </c>
      <c r="AT60" s="13">
        <v>0.45231520333475406</v>
      </c>
      <c r="AU60" s="14">
        <v>96.343138310302621</v>
      </c>
      <c r="AV60" s="13">
        <v>0.32240312424094064</v>
      </c>
      <c r="AW60" s="14">
        <v>111.8738841116064</v>
      </c>
      <c r="AX60" s="13">
        <v>8.9421610932272189E-2</v>
      </c>
      <c r="AY60" s="14">
        <v>6.8854640417849584</v>
      </c>
      <c r="AZ60" s="13">
        <v>0.13356623283408275</v>
      </c>
      <c r="BA60" s="14">
        <v>19.099971295273832</v>
      </c>
      <c r="BB60" s="13">
        <v>0.39903225806451614</v>
      </c>
      <c r="BC60" s="14">
        <v>24.740000000000002</v>
      </c>
      <c r="BD60" s="13">
        <v>3.8179019215154653E-2</v>
      </c>
      <c r="BE60" s="14">
        <v>12.408181244925261</v>
      </c>
      <c r="BF60" s="13">
        <v>0.13161023433427221</v>
      </c>
      <c r="BG60" s="14">
        <v>29.612302725211247</v>
      </c>
      <c r="BH60" s="13">
        <v>2.6100999111393963E-2</v>
      </c>
      <c r="BI60" s="14">
        <v>9.6834706703271607</v>
      </c>
      <c r="BJ60" s="13">
        <v>0.38022699732374166</v>
      </c>
      <c r="BK60" s="14">
        <v>3519.3810872285526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M60"/>
  <sheetViews>
    <sheetView zoomScale="80" zoomScaleNormal="80" workbookViewId="0"/>
  </sheetViews>
  <sheetFormatPr defaultRowHeight="14.5" x14ac:dyDescent="0.35"/>
  <cols>
    <col min="1" max="1" width="26.54296875" customWidth="1"/>
    <col min="63" max="63" width="10.453125" customWidth="1"/>
  </cols>
  <sheetData>
    <row r="1" spans="1:63" s="15" customFormat="1" ht="63" customHeight="1" x14ac:dyDescent="0.35">
      <c r="A1" s="1" t="s">
        <v>26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35">
      <c r="A3" s="2" t="s">
        <v>5</v>
      </c>
      <c r="B3" s="65">
        <v>3166</v>
      </c>
      <c r="C3" s="65"/>
      <c r="D3" s="65">
        <v>162</v>
      </c>
      <c r="E3" s="65"/>
      <c r="F3" s="65">
        <v>2235</v>
      </c>
      <c r="G3" s="65"/>
      <c r="H3" s="66">
        <v>6077</v>
      </c>
      <c r="I3" s="67"/>
      <c r="J3" s="65">
        <v>4353</v>
      </c>
      <c r="K3" s="65"/>
      <c r="L3" s="65">
        <v>23068</v>
      </c>
      <c r="M3" s="65"/>
      <c r="N3" s="65">
        <v>483</v>
      </c>
      <c r="O3" s="65"/>
      <c r="P3" s="65">
        <v>3675</v>
      </c>
      <c r="Q3" s="65"/>
      <c r="R3" s="65">
        <v>4958</v>
      </c>
      <c r="S3" s="65"/>
      <c r="T3" s="65">
        <v>281</v>
      </c>
      <c r="U3" s="65"/>
      <c r="V3" s="65">
        <v>1956</v>
      </c>
      <c r="W3" s="65"/>
      <c r="X3" s="65">
        <v>24492</v>
      </c>
      <c r="Y3" s="65"/>
      <c r="Z3" s="65">
        <v>2289</v>
      </c>
      <c r="AA3" s="65"/>
      <c r="AB3" s="65">
        <v>7942</v>
      </c>
      <c r="AC3" s="65"/>
      <c r="AD3" s="65">
        <v>137</v>
      </c>
      <c r="AE3" s="65"/>
      <c r="AF3" s="65"/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638</v>
      </c>
      <c r="AS3" s="65"/>
      <c r="AT3" s="65">
        <v>7293</v>
      </c>
      <c r="AU3" s="65"/>
      <c r="AV3" s="65">
        <v>7740</v>
      </c>
      <c r="AW3" s="65"/>
      <c r="AX3" s="65">
        <v>958</v>
      </c>
      <c r="AY3" s="65"/>
      <c r="AZ3" s="65">
        <v>3193</v>
      </c>
      <c r="BA3" s="65"/>
      <c r="BB3" s="65">
        <v>1203</v>
      </c>
      <c r="BC3" s="65"/>
      <c r="BD3" s="65">
        <v>7460</v>
      </c>
      <c r="BE3" s="65"/>
      <c r="BF3" s="65">
        <v>5876</v>
      </c>
      <c r="BG3" s="65"/>
      <c r="BH3" s="65">
        <v>5466</v>
      </c>
      <c r="BI3" s="65"/>
      <c r="BJ3" s="65">
        <v>182562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0.17597447239559699</v>
      </c>
      <c r="C5" s="8">
        <v>557.13517960446006</v>
      </c>
      <c r="D5" s="7">
        <v>0.26114805633827015</v>
      </c>
      <c r="E5" s="8">
        <v>42.305985126799762</v>
      </c>
      <c r="F5" s="7">
        <v>0.37838797814097158</v>
      </c>
      <c r="G5" s="8">
        <v>845.69713114507147</v>
      </c>
      <c r="H5" s="7">
        <v>0.33787754185977931</v>
      </c>
      <c r="I5" s="8">
        <v>2053.2818218818788</v>
      </c>
      <c r="J5" s="7">
        <v>0.20960610564192117</v>
      </c>
      <c r="K5" s="8">
        <v>912.4153778592829</v>
      </c>
      <c r="L5" s="7">
        <v>7.8006256036797741E-2</v>
      </c>
      <c r="M5" s="8">
        <v>1799.4483142568504</v>
      </c>
      <c r="N5" s="7"/>
      <c r="O5" s="8"/>
      <c r="P5" s="7">
        <v>0.24078223250640288</v>
      </c>
      <c r="Q5" s="8">
        <v>884.87470446103055</v>
      </c>
      <c r="R5" s="7">
        <v>0.23440339430061305</v>
      </c>
      <c r="S5" s="8">
        <v>1162.1720289424395</v>
      </c>
      <c r="T5" s="7"/>
      <c r="U5" s="8"/>
      <c r="V5" s="7">
        <v>0.64625640688541885</v>
      </c>
      <c r="W5" s="8">
        <v>1264.0775318678793</v>
      </c>
      <c r="X5" s="7">
        <v>0.74096032000213319</v>
      </c>
      <c r="Y5" s="8">
        <v>18147.600157492245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0.45957440449672232</v>
      </c>
      <c r="AU5" s="8">
        <v>3351.6761319945958</v>
      </c>
      <c r="AV5" s="7">
        <v>0.13827833636795195</v>
      </c>
      <c r="AW5" s="8">
        <v>1070.2743234879481</v>
      </c>
      <c r="AX5" s="7"/>
      <c r="AY5" s="8"/>
      <c r="AZ5" s="7"/>
      <c r="BA5" s="8"/>
      <c r="BB5" s="7"/>
      <c r="BC5" s="8"/>
      <c r="BD5" s="7"/>
      <c r="BE5" s="8"/>
      <c r="BF5" s="7">
        <v>2.564628264479785E-2</v>
      </c>
      <c r="BG5" s="8">
        <v>150.69755682083218</v>
      </c>
      <c r="BH5" s="7"/>
      <c r="BI5" s="8"/>
      <c r="BJ5" s="7">
        <v>0.17660661169871777</v>
      </c>
      <c r="BK5" s="8">
        <v>32241.656244941314</v>
      </c>
    </row>
    <row r="6" spans="1:63" x14ac:dyDescent="0.35">
      <c r="A6" s="6" t="s">
        <v>10</v>
      </c>
      <c r="B6" s="7">
        <v>0.42060415628825321</v>
      </c>
      <c r="C6" s="8">
        <v>1396.4057988770007</v>
      </c>
      <c r="D6" s="7"/>
      <c r="E6" s="8"/>
      <c r="F6" s="7">
        <v>0.43114164468928151</v>
      </c>
      <c r="G6" s="8">
        <v>963.60157588054415</v>
      </c>
      <c r="H6" s="7">
        <v>0.10481707508868485</v>
      </c>
      <c r="I6" s="8">
        <v>636.97336531393785</v>
      </c>
      <c r="J6" s="7"/>
      <c r="K6" s="8"/>
      <c r="L6" s="7">
        <v>8.0224334742905107E-2</v>
      </c>
      <c r="M6" s="8">
        <v>1850.6149538493351</v>
      </c>
      <c r="N6" s="7"/>
      <c r="O6" s="8"/>
      <c r="P6" s="7">
        <v>0.10206184009925642</v>
      </c>
      <c r="Q6" s="8">
        <v>375.07726236476736</v>
      </c>
      <c r="R6" s="7"/>
      <c r="S6" s="8"/>
      <c r="T6" s="7"/>
      <c r="U6" s="8"/>
      <c r="V6" s="7">
        <v>0.23818866801785468</v>
      </c>
      <c r="W6" s="8">
        <v>465.89703464292376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3.115966077786456E-2</v>
      </c>
      <c r="BK6" s="8">
        <v>5688.5699909285095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0.16290161305242465</v>
      </c>
      <c r="M7" s="10">
        <v>3757.8144098933317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2.0583771047059801E-2</v>
      </c>
      <c r="BK7" s="10">
        <v>3757.8144098933317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0.24861711122138075</v>
      </c>
      <c r="M8" s="10">
        <v>5735.0995216548108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3.1414530524724808E-2</v>
      </c>
      <c r="BK8" s="10">
        <v>5735.0995216548108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0.31266112367402493</v>
      </c>
      <c r="I9" s="10">
        <v>1900.0416485670494</v>
      </c>
      <c r="J9" s="9">
        <v>7.358491272038116E-2</v>
      </c>
      <c r="K9" s="10">
        <v>320.31512507181918</v>
      </c>
      <c r="L9" s="9">
        <v>0.15270180302918557</v>
      </c>
      <c r="M9" s="10">
        <v>3522.5251922772527</v>
      </c>
      <c r="N9" s="9"/>
      <c r="O9" s="10"/>
      <c r="P9" s="9">
        <v>0.23425592000651649</v>
      </c>
      <c r="Q9" s="10">
        <v>860.89050602394809</v>
      </c>
      <c r="R9" s="9">
        <v>0.14002919444208103</v>
      </c>
      <c r="S9" s="10">
        <v>694.26474604383782</v>
      </c>
      <c r="T9" s="9">
        <v>0.12425209210513351</v>
      </c>
      <c r="U9" s="10">
        <v>34.914837881542518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0.21174063776293164</v>
      </c>
      <c r="AW9" s="10">
        <v>1638.872536285091</v>
      </c>
      <c r="AX9" s="9">
        <v>9.3655244556724027E-2</v>
      </c>
      <c r="AY9" s="10">
        <v>89.721724285341622</v>
      </c>
      <c r="AZ9" s="9">
        <v>0.15820616658546616</v>
      </c>
      <c r="BA9" s="10">
        <v>505.15228990739348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5.2402463855256154E-2</v>
      </c>
      <c r="BK9" s="10">
        <v>9566.6986063432742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4.1495505610929379E-2</v>
      </c>
      <c r="M10" s="10">
        <v>957.21832343291885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5.243250640510724E-3</v>
      </c>
      <c r="BK10" s="10">
        <v>957.21832343291885</v>
      </c>
    </row>
    <row r="11" spans="1:63" x14ac:dyDescent="0.35">
      <c r="A11" s="6" t="s">
        <v>12</v>
      </c>
      <c r="B11" s="7">
        <v>1.2800000000000001E-2</v>
      </c>
      <c r="C11" s="8">
        <v>42.496000000000002</v>
      </c>
      <c r="D11" s="7">
        <v>0.80000000000000016</v>
      </c>
      <c r="E11" s="8">
        <v>129.60000000000002</v>
      </c>
      <c r="F11" s="7">
        <v>0.72399999999999998</v>
      </c>
      <c r="G11" s="8">
        <v>1618.1399999999999</v>
      </c>
      <c r="H11" s="7"/>
      <c r="I11" s="8"/>
      <c r="J11" s="7">
        <v>0.39667544052768872</v>
      </c>
      <c r="K11" s="8">
        <v>1726.728192617029</v>
      </c>
      <c r="L11" s="7"/>
      <c r="M11" s="8"/>
      <c r="N11" s="7">
        <v>0.88700000000000012</v>
      </c>
      <c r="O11" s="8">
        <v>428.42100000000005</v>
      </c>
      <c r="P11" s="7">
        <v>0.10074836483282928</v>
      </c>
      <c r="Q11" s="8">
        <v>370.25024076064761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137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403.85399999999998</v>
      </c>
      <c r="AT11" s="7"/>
      <c r="AU11" s="8"/>
      <c r="AV11" s="7"/>
      <c r="AW11" s="8"/>
      <c r="AX11" s="7"/>
      <c r="AY11" s="8"/>
      <c r="AZ11" s="7"/>
      <c r="BA11" s="8"/>
      <c r="BB11" s="7">
        <v>0.40376558603491275</v>
      </c>
      <c r="BC11" s="8">
        <v>485.73</v>
      </c>
      <c r="BD11" s="7">
        <v>3.4917459288715619E-2</v>
      </c>
      <c r="BE11" s="8">
        <v>262.2999541768317</v>
      </c>
      <c r="BF11" s="7"/>
      <c r="BG11" s="8"/>
      <c r="BH11" s="7"/>
      <c r="BI11" s="8"/>
      <c r="BJ11" s="7">
        <v>3.0700339736544683E-2</v>
      </c>
      <c r="BK11" s="8">
        <v>5604.7154229830703</v>
      </c>
    </row>
    <row r="12" spans="1:63" x14ac:dyDescent="0.35">
      <c r="A12" s="6" t="s">
        <v>13</v>
      </c>
      <c r="B12" s="9">
        <v>1.4460365649764846E-3</v>
      </c>
      <c r="C12" s="10">
        <v>4.8008413957219291</v>
      </c>
      <c r="D12" s="9"/>
      <c r="E12" s="10"/>
      <c r="F12" s="9"/>
      <c r="G12" s="10"/>
      <c r="H12" s="9">
        <v>3.4177819250341824E-3</v>
      </c>
      <c r="I12" s="10">
        <v>20.769860758432728</v>
      </c>
      <c r="J12" s="9">
        <v>4.2730757958344967E-3</v>
      </c>
      <c r="K12" s="10">
        <v>18.600698939267563</v>
      </c>
      <c r="L12" s="9">
        <v>1.1760378386674365E-2</v>
      </c>
      <c r="M12" s="10">
        <v>271.28840862380423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4.6886154097112595E-2</v>
      </c>
      <c r="Y12" s="10">
        <v>1148.3356861464817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2.0986842822752361E-2</v>
      </c>
      <c r="AU12" s="10">
        <v>153.05704470633296</v>
      </c>
      <c r="AV12" s="9"/>
      <c r="AW12" s="10"/>
      <c r="AX12" s="9">
        <v>4.4574533831141889E-3</v>
      </c>
      <c r="AY12" s="10">
        <v>4.2702403410233929</v>
      </c>
      <c r="AZ12" s="9"/>
      <c r="BA12" s="10"/>
      <c r="BB12" s="9"/>
      <c r="BC12" s="10"/>
      <c r="BD12" s="9"/>
      <c r="BE12" s="10"/>
      <c r="BF12" s="9">
        <v>8.3020723026643289E-2</v>
      </c>
      <c r="BG12" s="10">
        <v>487.82976850455594</v>
      </c>
      <c r="BH12" s="9">
        <v>4.9770927512738478E-4</v>
      </c>
      <c r="BI12" s="10">
        <v>2.7204788978462853</v>
      </c>
      <c r="BJ12" s="9">
        <v>1.7471618515110806E-2</v>
      </c>
      <c r="BK12" s="8">
        <v>3189.653619355659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0.88454436396367542</v>
      </c>
      <c r="AC13" s="10">
        <v>7025.05133859951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3.8480359212757914E-2</v>
      </c>
      <c r="BK13" s="10">
        <v>7025.05133859951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0.97199999999999998</v>
      </c>
      <c r="F14" s="11"/>
      <c r="G14" s="17"/>
      <c r="H14" s="11">
        <v>3.3000000000000002E-2</v>
      </c>
      <c r="I14" s="17">
        <f>H14*H3</f>
        <v>200.541</v>
      </c>
      <c r="J14" s="11">
        <v>0.03</v>
      </c>
      <c r="K14" s="17">
        <f>J14*J3</f>
        <v>130.59</v>
      </c>
      <c r="L14" s="11"/>
      <c r="M14" s="12"/>
      <c r="N14" s="11"/>
      <c r="O14" s="12"/>
      <c r="P14" s="11">
        <v>3.0000000000000001E-3</v>
      </c>
      <c r="Q14" s="17">
        <f>P14*P3</f>
        <v>11.025</v>
      </c>
      <c r="R14" s="11">
        <v>2.0000000000000001E-4</v>
      </c>
      <c r="S14" s="17">
        <f>R14*R3</f>
        <v>0.99160000000000004</v>
      </c>
      <c r="T14" s="11"/>
      <c r="U14" s="12"/>
      <c r="V14" s="11">
        <v>2.9000000000000001E-2</v>
      </c>
      <c r="W14" s="17">
        <f>V14*V3</f>
        <v>56.724000000000004</v>
      </c>
      <c r="X14" s="11">
        <v>0.20499999999999999</v>
      </c>
      <c r="Y14" s="17">
        <f>X14*X3</f>
        <v>5020.8599999999997</v>
      </c>
      <c r="Z14" s="11">
        <v>0.97</v>
      </c>
      <c r="AA14" s="17">
        <f>Z14*Z3</f>
        <v>2220.33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517.803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52.883999999999993</v>
      </c>
      <c r="BH14" s="11"/>
      <c r="BI14" s="12"/>
      <c r="BJ14" s="11">
        <v>4.9776032300740916E-2</v>
      </c>
      <c r="BK14" s="12">
        <v>9087.2120088878637</v>
      </c>
    </row>
    <row r="15" spans="1:63" x14ac:dyDescent="0.3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7.8001106398672332E-2</v>
      </c>
      <c r="Y15" s="8">
        <v>1901.3692819082553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1.0435329886162593E-2</v>
      </c>
      <c r="BK15" s="8">
        <v>1901.3692819082553</v>
      </c>
    </row>
    <row r="16" spans="1:63" ht="58" x14ac:dyDescent="0.3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0.31409524870033023</v>
      </c>
      <c r="BK16" s="8">
        <v>57341.856793229686</v>
      </c>
    </row>
    <row r="17" spans="1:63" ht="43.5" x14ac:dyDescent="0.3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0.13364023272818726</v>
      </c>
      <c r="BK17" s="8">
        <v>24397.628167323321</v>
      </c>
    </row>
    <row r="18" spans="1:63" x14ac:dyDescent="0.35">
      <c r="A18" s="6" t="s">
        <v>204</v>
      </c>
      <c r="B18" s="13">
        <v>0.52935578165721031</v>
      </c>
      <c r="C18" s="14">
        <v>1675.9404047267278</v>
      </c>
      <c r="D18" s="13">
        <v>0.85311623360004829</v>
      </c>
      <c r="E18" s="14">
        <v>138.20482984320782</v>
      </c>
      <c r="F18" s="13">
        <v>0.90240386289867713</v>
      </c>
      <c r="G18" s="14">
        <v>2016.8726335785434</v>
      </c>
      <c r="H18" s="13">
        <v>0.60739066196533265</v>
      </c>
      <c r="I18" s="14">
        <v>3691.1130527633263</v>
      </c>
      <c r="J18" s="13">
        <v>0.57331027467546236</v>
      </c>
      <c r="K18" s="14">
        <v>2495.6196256622875</v>
      </c>
      <c r="L18" s="13">
        <v>0.57190476576964855</v>
      </c>
      <c r="M18" s="14">
        <v>13192.699136774252</v>
      </c>
      <c r="N18" s="13">
        <v>0.88700000000000012</v>
      </c>
      <c r="O18" s="14">
        <v>428.42100000000005</v>
      </c>
      <c r="P18" s="13">
        <v>0.53197092442617133</v>
      </c>
      <c r="Q18" s="14">
        <v>1954.9931472661797</v>
      </c>
      <c r="R18" s="13">
        <v>0.34174094841023694</v>
      </c>
      <c r="S18" s="14">
        <v>1694.3516222179549</v>
      </c>
      <c r="T18" s="13">
        <v>0.12425209210513355</v>
      </c>
      <c r="U18" s="14">
        <v>34.914837881542525</v>
      </c>
      <c r="V18" s="13">
        <v>0.73832921260690321</v>
      </c>
      <c r="W18" s="14">
        <v>1444.1719398591026</v>
      </c>
      <c r="X18" s="13">
        <v>0.81902916007085103</v>
      </c>
      <c r="Y18" s="14">
        <v>20059.662188455284</v>
      </c>
      <c r="Z18" s="13">
        <v>0.97</v>
      </c>
      <c r="AA18" s="14">
        <v>2220.33</v>
      </c>
      <c r="AB18" s="13">
        <v>0.88454436396367542</v>
      </c>
      <c r="AC18" s="14">
        <v>7025.05133859951</v>
      </c>
      <c r="AD18" s="13">
        <v>1</v>
      </c>
      <c r="AE18" s="14">
        <v>137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403.85399999999998</v>
      </c>
      <c r="AT18" s="13">
        <v>0.50848117908852908</v>
      </c>
      <c r="AU18" s="14">
        <v>3708.3532390926425</v>
      </c>
      <c r="AV18" s="13">
        <v>0.32073983099953629</v>
      </c>
      <c r="AW18" s="14">
        <v>2482.5262919364109</v>
      </c>
      <c r="AX18" s="13">
        <v>9.769523405314251E-2</v>
      </c>
      <c r="AY18" s="14">
        <v>93.592034222910527</v>
      </c>
      <c r="AZ18" s="13">
        <v>0.15820616658546616</v>
      </c>
      <c r="BA18" s="14">
        <v>505.15228990739342</v>
      </c>
      <c r="BB18" s="13">
        <v>0.40376558603491275</v>
      </c>
      <c r="BC18" s="14">
        <v>485.73</v>
      </c>
      <c r="BD18" s="13">
        <v>3.4917459288715591E-2</v>
      </c>
      <c r="BE18" s="14">
        <v>260.48424629381833</v>
      </c>
      <c r="BF18" s="13">
        <v>0.11457899224863444</v>
      </c>
      <c r="BG18" s="14">
        <v>673.2661584529759</v>
      </c>
      <c r="BH18" s="13">
        <v>4.9770927512737817E-4</v>
      </c>
      <c r="BI18" s="14">
        <v>2.7204788978462489</v>
      </c>
      <c r="BJ18" s="13">
        <v>0.38576135299579506</v>
      </c>
      <c r="BK18" s="14">
        <v>70425.364125618333</v>
      </c>
    </row>
    <row r="19" spans="1:63" ht="116" x14ac:dyDescent="0.35">
      <c r="A19" s="1" t="s">
        <v>26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1819</v>
      </c>
      <c r="C21" s="65"/>
      <c r="D21" s="65">
        <v>71</v>
      </c>
      <c r="E21" s="65"/>
      <c r="F21" s="65">
        <v>717</v>
      </c>
      <c r="G21" s="65"/>
      <c r="H21" s="66">
        <v>2963</v>
      </c>
      <c r="I21" s="67"/>
      <c r="J21" s="65">
        <v>2383</v>
      </c>
      <c r="K21" s="65"/>
      <c r="L21" s="65">
        <v>18712</v>
      </c>
      <c r="M21" s="65"/>
      <c r="N21" s="65">
        <v>1000</v>
      </c>
      <c r="O21" s="65"/>
      <c r="P21" s="65">
        <v>2048</v>
      </c>
      <c r="Q21" s="65"/>
      <c r="R21" s="65">
        <v>4954</v>
      </c>
      <c r="S21" s="65"/>
      <c r="T21" s="65">
        <v>715</v>
      </c>
      <c r="U21" s="65"/>
      <c r="V21" s="65">
        <v>463</v>
      </c>
      <c r="W21" s="65"/>
      <c r="X21" s="65">
        <v>21832</v>
      </c>
      <c r="Y21" s="65"/>
      <c r="Z21" s="65">
        <v>428</v>
      </c>
      <c r="AA21" s="65"/>
      <c r="AB21" s="65">
        <v>7794</v>
      </c>
      <c r="AC21" s="65"/>
      <c r="AD21" s="65">
        <v>19</v>
      </c>
      <c r="AE21" s="65"/>
      <c r="AF21" s="65">
        <v>54710</v>
      </c>
      <c r="AG21" s="65"/>
      <c r="AH21" s="65">
        <v>1339</v>
      </c>
      <c r="AI21" s="65"/>
      <c r="AJ21" s="65">
        <v>232</v>
      </c>
      <c r="AK21" s="65"/>
      <c r="AL21" s="65">
        <v>3126</v>
      </c>
      <c r="AM21" s="65"/>
      <c r="AN21" s="65">
        <v>8979</v>
      </c>
      <c r="AO21" s="65"/>
      <c r="AP21" s="65">
        <v>6829</v>
      </c>
      <c r="AQ21" s="65"/>
      <c r="AR21" s="65" t="s">
        <v>6</v>
      </c>
      <c r="AS21" s="65"/>
      <c r="AT21" s="65">
        <v>2859</v>
      </c>
      <c r="AU21" s="65"/>
      <c r="AV21" s="65">
        <v>4618</v>
      </c>
      <c r="AW21" s="65"/>
      <c r="AX21" s="65">
        <v>2567</v>
      </c>
      <c r="AY21" s="65"/>
      <c r="AZ21" s="65">
        <v>2343</v>
      </c>
      <c r="BA21" s="65"/>
      <c r="BB21" s="65">
        <v>907</v>
      </c>
      <c r="BC21" s="65"/>
      <c r="BD21" s="65">
        <v>6200</v>
      </c>
      <c r="BE21" s="65"/>
      <c r="BF21" s="65">
        <v>4017</v>
      </c>
      <c r="BG21" s="65"/>
      <c r="BH21" s="65">
        <v>5966</v>
      </c>
      <c r="BI21" s="65"/>
      <c r="BJ21" s="65">
        <v>176985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0.15835310315413717</v>
      </c>
      <c r="C23" s="8">
        <v>288.04429463737551</v>
      </c>
      <c r="D23" s="7">
        <v>0.21551128734851779</v>
      </c>
      <c r="E23" s="8">
        <v>15.301301401744762</v>
      </c>
      <c r="F23" s="7">
        <v>0.36050360819210414</v>
      </c>
      <c r="G23" s="8">
        <v>258.48108707373865</v>
      </c>
      <c r="H23" s="7">
        <v>0.32977244960203794</v>
      </c>
      <c r="I23" s="8">
        <v>977.11576817083835</v>
      </c>
      <c r="J23" s="7">
        <v>3.4178697146090196E-2</v>
      </c>
      <c r="K23" s="8">
        <v>81.447835299132933</v>
      </c>
      <c r="L23" s="7">
        <v>5.6455808893479523E-2</v>
      </c>
      <c r="M23" s="8">
        <v>1056.4010960147889</v>
      </c>
      <c r="N23" s="7"/>
      <c r="O23" s="8"/>
      <c r="P23" s="7">
        <v>0.130060324823882</v>
      </c>
      <c r="Q23" s="8">
        <v>266.36354523931033</v>
      </c>
      <c r="R23" s="7">
        <v>0.20361209563037355</v>
      </c>
      <c r="S23" s="8">
        <v>1008.6943217528706</v>
      </c>
      <c r="T23" s="7"/>
      <c r="U23" s="8"/>
      <c r="V23" s="7">
        <v>0.61361837462222191</v>
      </c>
      <c r="W23" s="8">
        <v>284.10530745008873</v>
      </c>
      <c r="X23" s="7">
        <v>0.70170419691099395</v>
      </c>
      <c r="Y23" s="8">
        <v>15319.606026960821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0.2060864660343586</v>
      </c>
      <c r="AM23" s="8">
        <v>644.22629282340495</v>
      </c>
      <c r="AN23" s="7"/>
      <c r="AO23" s="8"/>
      <c r="AP23" s="7">
        <v>3.6586533069825088E-3</v>
      </c>
      <c r="AQ23" s="8">
        <v>24.984943433383553</v>
      </c>
      <c r="AR23" s="7"/>
      <c r="AS23" s="8"/>
      <c r="AT23" s="7">
        <v>0.41488867782913819</v>
      </c>
      <c r="AU23" s="8">
        <v>1186.1667299135061</v>
      </c>
      <c r="AV23" s="7">
        <v>0.10964055541717241</v>
      </c>
      <c r="AW23" s="8">
        <v>506.3200849165022</v>
      </c>
      <c r="AX23" s="7"/>
      <c r="AY23" s="8"/>
      <c r="AZ23" s="7"/>
      <c r="BA23" s="8"/>
      <c r="BB23" s="7"/>
      <c r="BC23" s="8"/>
      <c r="BD23" s="7"/>
      <c r="BE23" s="8"/>
      <c r="BF23" s="7">
        <v>2.7908834954654241E-2</v>
      </c>
      <c r="BG23" s="8">
        <v>112.10979001284609</v>
      </c>
      <c r="BH23" s="7"/>
      <c r="BI23" s="8"/>
      <c r="BJ23" s="7">
        <v>0.1244702569432458</v>
      </c>
      <c r="BK23" s="8">
        <v>22029.368425100358</v>
      </c>
    </row>
    <row r="24" spans="1:63" x14ac:dyDescent="0.35">
      <c r="A24" s="6" t="s">
        <v>10</v>
      </c>
      <c r="B24" s="7">
        <v>0.20407181097212607</v>
      </c>
      <c r="C24" s="8">
        <v>371.2066241582973</v>
      </c>
      <c r="D24" s="7"/>
      <c r="E24" s="8"/>
      <c r="F24" s="7">
        <v>0.21127434722023136</v>
      </c>
      <c r="G24" s="8">
        <v>151.48370695690588</v>
      </c>
      <c r="H24" s="7">
        <v>0.16842891143544586</v>
      </c>
      <c r="I24" s="8">
        <v>499.05486458322611</v>
      </c>
      <c r="J24" s="7"/>
      <c r="K24" s="8"/>
      <c r="L24" s="7">
        <v>3.7063654750019596E-2</v>
      </c>
      <c r="M24" s="8">
        <v>693.53510768236663</v>
      </c>
      <c r="N24" s="7"/>
      <c r="O24" s="8"/>
      <c r="P24" s="7">
        <v>1.4048281079478628E-2</v>
      </c>
      <c r="Q24" s="8">
        <v>28.77087965077223</v>
      </c>
      <c r="R24" s="7"/>
      <c r="S24" s="8"/>
      <c r="T24" s="7"/>
      <c r="U24" s="8"/>
      <c r="V24" s="7">
        <v>0.11817650454505844</v>
      </c>
      <c r="W24" s="8">
        <v>54.715721604362059</v>
      </c>
      <c r="X24" s="7"/>
      <c r="Y24" s="8"/>
      <c r="Z24" s="7"/>
      <c r="AA24" s="8"/>
      <c r="AB24" s="7"/>
      <c r="AC24" s="8"/>
      <c r="AD24" s="7"/>
      <c r="AE24" s="8"/>
      <c r="AF24" s="7">
        <v>8.0536995392292601E-2</v>
      </c>
      <c r="AG24" s="8">
        <v>4406.1790179123282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3.5059162768303863E-2</v>
      </c>
      <c r="BK24" s="8">
        <v>6204.9459225482587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8.5180859938646658E-2</v>
      </c>
      <c r="M25" s="10">
        <v>1593.9042511719563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9.005871973172621E-3</v>
      </c>
      <c r="BK25" s="10">
        <v>1593.9042511719563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0.31839753236991142</v>
      </c>
      <c r="M26" s="10">
        <v>5957.8546257057824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3.3663048426170482E-2</v>
      </c>
      <c r="BK26" s="10">
        <v>5957.8546257057824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0.16737233181806027</v>
      </c>
      <c r="I27" s="10">
        <v>495.92421917691257</v>
      </c>
      <c r="J27" s="9">
        <v>4.2959216712203749E-2</v>
      </c>
      <c r="K27" s="10">
        <v>102.37181342518153</v>
      </c>
      <c r="L27" s="9">
        <v>6.7892482991798231E-2</v>
      </c>
      <c r="M27" s="10">
        <v>1270.4041417425285</v>
      </c>
      <c r="N27" s="9"/>
      <c r="O27" s="10"/>
      <c r="P27" s="9">
        <v>0.22963868124510051</v>
      </c>
      <c r="Q27" s="10">
        <v>470.30001918996584</v>
      </c>
      <c r="R27" s="9">
        <v>0.10525100248511829</v>
      </c>
      <c r="S27" s="10">
        <v>521.41346631127601</v>
      </c>
      <c r="T27" s="9">
        <v>0.22844777697573404</v>
      </c>
      <c r="U27" s="10">
        <v>163.34016053764984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8.3864946310943739E-2</v>
      </c>
      <c r="AG27" s="10">
        <v>4588.251212671732</v>
      </c>
      <c r="AH27" s="9"/>
      <c r="AI27" s="10"/>
      <c r="AJ27" s="9"/>
      <c r="AK27" s="10"/>
      <c r="AL27" s="9"/>
      <c r="AM27" s="10"/>
      <c r="AN27" s="9">
        <v>0.34040010071716037</v>
      </c>
      <c r="AO27" s="10">
        <v>3056.4525043393828</v>
      </c>
      <c r="AP27" s="9">
        <v>7.1041163987356243E-2</v>
      </c>
      <c r="AQ27" s="10">
        <v>485.14010886965582</v>
      </c>
      <c r="AR27" s="9"/>
      <c r="AS27" s="10"/>
      <c r="AT27" s="9"/>
      <c r="AU27" s="10"/>
      <c r="AV27" s="9">
        <v>0.28198656458779353</v>
      </c>
      <c r="AW27" s="10">
        <v>1302.2139552664305</v>
      </c>
      <c r="AX27" s="9">
        <v>8.0675419394085943E-2</v>
      </c>
      <c r="AY27" s="10">
        <v>207.09380158461863</v>
      </c>
      <c r="AZ27" s="9">
        <v>0.10502723800683716</v>
      </c>
      <c r="BA27" s="10">
        <v>246.07881865001949</v>
      </c>
      <c r="BB27" s="9"/>
      <c r="BC27" s="10"/>
      <c r="BD27" s="9"/>
      <c r="BE27" s="10"/>
      <c r="BF27" s="9"/>
      <c r="BG27" s="10"/>
      <c r="BH27" s="9">
        <v>4.781937632220265E-2</v>
      </c>
      <c r="BI27" s="10">
        <v>285.29039913826102</v>
      </c>
      <c r="BJ27" s="9">
        <v>7.4550242229022873E-2</v>
      </c>
      <c r="BK27" s="10">
        <v>13194.274620903614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5.1276819091789522E-2</v>
      </c>
      <c r="M28" s="10">
        <v>959.49183884556555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5.4213172802529339E-3</v>
      </c>
      <c r="BK28" s="10">
        <v>959.49183884556555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2.0560165895572344E-2</v>
      </c>
      <c r="AG29" s="8">
        <v>1124.846676146763</v>
      </c>
      <c r="AH29" s="7"/>
      <c r="AI29" s="8"/>
      <c r="AJ29" s="7"/>
      <c r="AK29" s="8"/>
      <c r="AL29" s="7"/>
      <c r="AM29" s="8"/>
      <c r="AN29" s="7"/>
      <c r="AO29" s="8"/>
      <c r="AP29" s="7">
        <v>3.5988976653477972E-2</v>
      </c>
      <c r="AQ29" s="8">
        <v>245.76872156660107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7.7442461096328174E-3</v>
      </c>
      <c r="BK29" s="8">
        <v>1370.6153977133642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7.5922181276790969E-3</v>
      </c>
      <c r="AG30" s="10">
        <v>415.37025376532341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4.5615663602534022E-3</v>
      </c>
      <c r="BK30" s="8">
        <v>807.32882226944844</v>
      </c>
    </row>
    <row r="31" spans="1:63" x14ac:dyDescent="0.35">
      <c r="A31" s="6" t="s">
        <v>12</v>
      </c>
      <c r="B31" s="9">
        <v>1.2800000000000001E-2</v>
      </c>
      <c r="C31" s="10">
        <v>23.283200000000001</v>
      </c>
      <c r="D31" s="9">
        <v>0.8</v>
      </c>
      <c r="E31" s="10">
        <v>56.800000000000004</v>
      </c>
      <c r="F31" s="9">
        <v>0.63300000000000012</v>
      </c>
      <c r="G31" s="10">
        <v>453.86100000000005</v>
      </c>
      <c r="H31" s="9"/>
      <c r="I31" s="10"/>
      <c r="J31" s="9">
        <v>0.43747310013818913</v>
      </c>
      <c r="K31" s="10">
        <v>1042.4983976293047</v>
      </c>
      <c r="L31" s="9"/>
      <c r="M31" s="10"/>
      <c r="N31" s="9">
        <v>0.92500000000000016</v>
      </c>
      <c r="O31" s="10">
        <v>925.00000000000011</v>
      </c>
      <c r="P31" s="9">
        <v>8.4897378756654943E-2</v>
      </c>
      <c r="Q31" s="10">
        <v>173.86983169362932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19</v>
      </c>
      <c r="AF31" s="9"/>
      <c r="AG31" s="10"/>
      <c r="AH31" s="9">
        <v>0.68799999999999994</v>
      </c>
      <c r="AI31" s="10">
        <v>921.23199999999997</v>
      </c>
      <c r="AJ31" s="9">
        <v>0.75</v>
      </c>
      <c r="AK31" s="10">
        <v>174</v>
      </c>
      <c r="AL31" s="9">
        <v>0.997</v>
      </c>
      <c r="AM31" s="10">
        <v>3116.6219999999998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0.4048180815876517</v>
      </c>
      <c r="BC31" s="10">
        <v>367.17000000000007</v>
      </c>
      <c r="BD31" s="9">
        <v>3.4107642531861757E-2</v>
      </c>
      <c r="BE31" s="10">
        <v>207.74965066156997</v>
      </c>
      <c r="BF31" s="9"/>
      <c r="BG31" s="10"/>
      <c r="BH31" s="9"/>
      <c r="BI31" s="10"/>
      <c r="BJ31" s="9">
        <v>4.2269858736507931E-2</v>
      </c>
      <c r="BK31" s="10">
        <v>7481.1309484808562</v>
      </c>
    </row>
    <row r="32" spans="1:63" x14ac:dyDescent="0.35">
      <c r="A32" s="6" t="s">
        <v>13</v>
      </c>
      <c r="B32" s="7">
        <v>1.4458227670361837E-3</v>
      </c>
      <c r="C32" s="8">
        <v>2.6299516132388181</v>
      </c>
      <c r="D32" s="7"/>
      <c r="E32" s="8"/>
      <c r="F32" s="7"/>
      <c r="G32" s="8"/>
      <c r="H32" s="7">
        <v>6.418054638817232E-3</v>
      </c>
      <c r="I32" s="8">
        <v>19.016695894815459</v>
      </c>
      <c r="J32" s="7">
        <v>9.2731728056429444E-3</v>
      </c>
      <c r="K32" s="8">
        <v>22.097970795847136</v>
      </c>
      <c r="L32" s="7">
        <v>1.9790899244394478E-2</v>
      </c>
      <c r="M32" s="8">
        <v>370.32730666110945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4.9882018123404578E-2</v>
      </c>
      <c r="Y32" s="8">
        <v>1089.0242196701688</v>
      </c>
      <c r="Z32" s="7"/>
      <c r="AA32" s="8"/>
      <c r="AB32" s="7"/>
      <c r="AC32" s="8"/>
      <c r="AD32" s="7"/>
      <c r="AE32" s="8"/>
      <c r="AF32" s="7">
        <v>1.475311209816332E-2</v>
      </c>
      <c r="AG32" s="8">
        <v>807.1427628905152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1.7987983078521636E-2</v>
      </c>
      <c r="AU32" s="8">
        <v>51.42764362149336</v>
      </c>
      <c r="AV32" s="7"/>
      <c r="AW32" s="8"/>
      <c r="AX32" s="7">
        <v>8.4576694733229808E-3</v>
      </c>
      <c r="AY32" s="8">
        <v>27.005338628320278</v>
      </c>
      <c r="AZ32" s="7"/>
      <c r="BA32" s="8"/>
      <c r="BB32" s="7"/>
      <c r="BC32" s="8"/>
      <c r="BD32" s="7"/>
      <c r="BE32" s="8"/>
      <c r="BF32" s="7">
        <v>0.10128140460729904</v>
      </c>
      <c r="BG32" s="8">
        <v>406.84740230752021</v>
      </c>
      <c r="BH32" s="7">
        <v>4.9802583273021077E-4</v>
      </c>
      <c r="BI32" s="8">
        <v>2.9712221180684377</v>
      </c>
      <c r="BJ32" s="7">
        <v>2.1269124360650458E-2</v>
      </c>
      <c r="BK32" s="8">
        <v>3764.3159749697211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0.84408314268945206</v>
      </c>
      <c r="AC33" s="8">
        <v>6578.7840141215893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3.7171421386680163E-2</v>
      </c>
      <c r="BK33" s="8">
        <v>6578.7840141215893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0.14200000000000002</v>
      </c>
      <c r="F34" s="11"/>
      <c r="G34" s="17"/>
      <c r="H34" s="11">
        <v>1.0999999999999999E-2</v>
      </c>
      <c r="I34" s="17">
        <f>H34*H21</f>
        <v>32.592999999999996</v>
      </c>
      <c r="J34" s="11">
        <v>3.0000000000000001E-3</v>
      </c>
      <c r="K34" s="17">
        <f>J34*J21</f>
        <v>7.149</v>
      </c>
      <c r="L34" s="11"/>
      <c r="M34" s="12"/>
      <c r="N34" s="11"/>
      <c r="O34" s="12"/>
      <c r="P34" s="11">
        <v>1E-3</v>
      </c>
      <c r="Q34" s="17">
        <f>P34*P21</f>
        <v>2.048</v>
      </c>
      <c r="R34" s="11"/>
      <c r="S34" s="17"/>
      <c r="T34" s="11"/>
      <c r="U34" s="12"/>
      <c r="V34" s="11">
        <v>1.6E-2</v>
      </c>
      <c r="W34" s="17">
        <f>V34*V21</f>
        <v>7.4080000000000004</v>
      </c>
      <c r="X34" s="11">
        <v>4.2999999999999997E-2</v>
      </c>
      <c r="Y34" s="17">
        <f>X34*X21</f>
        <v>938.77599999999995</v>
      </c>
      <c r="Z34" s="11">
        <v>0.82499999999999996</v>
      </c>
      <c r="AA34" s="17">
        <f>Z34*Z21</f>
        <v>353.09999999999997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21.882000000000001</v>
      </c>
      <c r="AN34" s="11"/>
      <c r="AO34" s="12"/>
      <c r="AP34" s="11">
        <v>5.0000000000000001E-3</v>
      </c>
      <c r="AQ34" s="17">
        <f>AP34*AP21</f>
        <v>34.145000000000003</v>
      </c>
      <c r="AR34" s="11"/>
      <c r="AS34" s="12"/>
      <c r="AT34" s="11">
        <v>1.9E-2</v>
      </c>
      <c r="AU34" s="17">
        <f>AT34*AT21</f>
        <v>54.320999999999998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20.085000000000001</v>
      </c>
      <c r="BH34" s="11"/>
      <c r="BI34" s="12"/>
      <c r="BJ34" s="11">
        <v>2.4510924996576967E-2</v>
      </c>
      <c r="BK34" s="12">
        <v>4338.0660605191742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7.8001106398672332E-2</v>
      </c>
      <c r="Y35" s="8">
        <v>1690.0470169870787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9.57653088196307E-3</v>
      </c>
      <c r="BK35" s="8">
        <v>1690.0470169870787</v>
      </c>
    </row>
    <row r="36" spans="1:63" x14ac:dyDescent="0.3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4.7195583358598935E-2</v>
      </c>
      <c r="AG36" s="8">
        <v>2582.0703655489478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1.4589204540209328E-2</v>
      </c>
      <c r="BK36" s="8">
        <v>2582.0703655489478</v>
      </c>
    </row>
    <row r="37" spans="1:63" ht="58" x14ac:dyDescent="0.3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0.28301144392279498</v>
      </c>
      <c r="BK37" s="8">
        <v>50088.780402675868</v>
      </c>
    </row>
    <row r="38" spans="1:63" ht="43.5" x14ac:dyDescent="0.3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0.14946469188506506</v>
      </c>
      <c r="BK38" s="8">
        <v>26453.008493278241</v>
      </c>
    </row>
    <row r="39" spans="1:63" x14ac:dyDescent="0.35">
      <c r="A39" s="6" t="s">
        <v>204</v>
      </c>
      <c r="B39" s="13">
        <v>0.3396402534428028</v>
      </c>
      <c r="C39" s="14">
        <v>617.80562101245823</v>
      </c>
      <c r="D39" s="13">
        <v>0.84341605295476418</v>
      </c>
      <c r="E39" s="14">
        <v>59.882539759788258</v>
      </c>
      <c r="F39" s="13">
        <v>0.81488989426801095</v>
      </c>
      <c r="G39" s="14">
        <v>584.2760541901639</v>
      </c>
      <c r="H39" s="13">
        <v>0.54399198205440991</v>
      </c>
      <c r="I39" s="14">
        <v>1611.8482428272166</v>
      </c>
      <c r="J39" s="13">
        <v>0.48640640150735071</v>
      </c>
      <c r="K39" s="14">
        <v>1159.1064547920166</v>
      </c>
      <c r="L39" s="13">
        <v>0.50892200523350617</v>
      </c>
      <c r="M39" s="14">
        <v>9522.9485619293682</v>
      </c>
      <c r="N39" s="13">
        <v>0.92500000000000016</v>
      </c>
      <c r="O39" s="14">
        <v>925.00000000000011</v>
      </c>
      <c r="P39" s="13">
        <v>0.39594770026457771</v>
      </c>
      <c r="Q39" s="14">
        <v>810.90089014185514</v>
      </c>
      <c r="R39" s="13">
        <v>0.28743272093229921</v>
      </c>
      <c r="S39" s="14">
        <v>1423.9416994986102</v>
      </c>
      <c r="T39" s="13">
        <v>0.22844777697573404</v>
      </c>
      <c r="U39" s="14">
        <v>163.34016053764984</v>
      </c>
      <c r="V39" s="13">
        <v>0.66473113085732904</v>
      </c>
      <c r="W39" s="14">
        <v>307.77051358694337</v>
      </c>
      <c r="X39" s="13">
        <v>0.74992687667660174</v>
      </c>
      <c r="Y39" s="14">
        <v>16372.403571603569</v>
      </c>
      <c r="Z39" s="13">
        <v>0.82499999999999996</v>
      </c>
      <c r="AA39" s="14">
        <v>353.09999999999997</v>
      </c>
      <c r="AB39" s="13">
        <v>0.84408314268945206</v>
      </c>
      <c r="AC39" s="14">
        <v>6578.7840141215893</v>
      </c>
      <c r="AD39" s="13">
        <v>1</v>
      </c>
      <c r="AE39" s="14">
        <v>19</v>
      </c>
      <c r="AF39" s="13">
        <v>0.23138205854292959</v>
      </c>
      <c r="AG39" s="14">
        <v>12658.912422883677</v>
      </c>
      <c r="AH39" s="13">
        <v>0.68799999999999994</v>
      </c>
      <c r="AI39" s="14">
        <v>921.23199999999997</v>
      </c>
      <c r="AJ39" s="13">
        <v>0.75</v>
      </c>
      <c r="AK39" s="14">
        <v>174</v>
      </c>
      <c r="AL39" s="13">
        <v>0.99763493158231642</v>
      </c>
      <c r="AM39" s="14">
        <v>3118.6067961263211</v>
      </c>
      <c r="AN39" s="13">
        <v>0.34040010071716043</v>
      </c>
      <c r="AO39" s="14">
        <v>3056.4525043393833</v>
      </c>
      <c r="AP39" s="13">
        <v>0.11221111373686787</v>
      </c>
      <c r="AQ39" s="14">
        <v>766.28969570907066</v>
      </c>
      <c r="AR39" s="13">
        <v>0</v>
      </c>
      <c r="AS39" s="14" t="s">
        <v>68</v>
      </c>
      <c r="AT39" s="13">
        <v>0.43633079103396255</v>
      </c>
      <c r="AU39" s="14">
        <v>1247.469731566099</v>
      </c>
      <c r="AV39" s="13">
        <v>0.36070995644338</v>
      </c>
      <c r="AW39" s="14">
        <v>1665.7585788555289</v>
      </c>
      <c r="AX39" s="13">
        <v>8.8450762835552088E-2</v>
      </c>
      <c r="AY39" s="14">
        <v>227.05310819886222</v>
      </c>
      <c r="AZ39" s="13">
        <v>0.10502723800683711</v>
      </c>
      <c r="BA39" s="14">
        <v>246.07881865001934</v>
      </c>
      <c r="BB39" s="13">
        <v>0.40481808158765165</v>
      </c>
      <c r="BC39" s="14">
        <v>367.17</v>
      </c>
      <c r="BD39" s="13">
        <v>3.4107642531861715E-2</v>
      </c>
      <c r="BE39" s="14">
        <v>211.46738369754263</v>
      </c>
      <c r="BF39" s="13">
        <v>0.13073177558900861</v>
      </c>
      <c r="BG39" s="14">
        <v>525.14954254104759</v>
      </c>
      <c r="BH39" s="13">
        <v>4.829358687021934E-2</v>
      </c>
      <c r="BI39" s="14">
        <v>288.11953926772861</v>
      </c>
      <c r="BJ39" s="13">
        <v>0.3679996078610378</v>
      </c>
      <c r="BK39" s="14">
        <v>65130.410597285772</v>
      </c>
    </row>
    <row r="40" spans="1:63" ht="116" x14ac:dyDescent="0.35">
      <c r="A40" s="1" t="s">
        <v>26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4985</v>
      </c>
      <c r="C42" s="65"/>
      <c r="D42" s="65">
        <v>233</v>
      </c>
      <c r="E42" s="65"/>
      <c r="F42" s="65">
        <v>2952</v>
      </c>
      <c r="G42" s="65"/>
      <c r="H42" s="66">
        <v>9040</v>
      </c>
      <c r="I42" s="67"/>
      <c r="J42" s="65">
        <v>6736</v>
      </c>
      <c r="K42" s="65"/>
      <c r="L42" s="65">
        <v>41780</v>
      </c>
      <c r="M42" s="65"/>
      <c r="N42" s="65">
        <v>1483</v>
      </c>
      <c r="O42" s="65"/>
      <c r="P42" s="65">
        <v>5723</v>
      </c>
      <c r="Q42" s="65"/>
      <c r="R42" s="65">
        <v>9912</v>
      </c>
      <c r="S42" s="65"/>
      <c r="T42" s="65">
        <v>996</v>
      </c>
      <c r="U42" s="65"/>
      <c r="V42" s="65">
        <v>2419</v>
      </c>
      <c r="W42" s="65"/>
      <c r="X42" s="65">
        <v>46324</v>
      </c>
      <c r="Y42" s="65"/>
      <c r="Z42" s="65">
        <v>2717</v>
      </c>
      <c r="AA42" s="65"/>
      <c r="AB42" s="65">
        <v>15736</v>
      </c>
      <c r="AC42" s="65"/>
      <c r="AD42" s="65">
        <v>156</v>
      </c>
      <c r="AE42" s="65"/>
      <c r="AF42" s="65">
        <v>55081</v>
      </c>
      <c r="AG42" s="65"/>
      <c r="AH42" s="65">
        <v>1339</v>
      </c>
      <c r="AI42" s="65"/>
      <c r="AJ42" s="65">
        <v>232</v>
      </c>
      <c r="AK42" s="65"/>
      <c r="AL42" s="65">
        <v>3126</v>
      </c>
      <c r="AM42" s="65"/>
      <c r="AN42" s="65">
        <v>8979</v>
      </c>
      <c r="AO42" s="65"/>
      <c r="AP42" s="65">
        <v>6829</v>
      </c>
      <c r="AQ42" s="65"/>
      <c r="AR42" s="65">
        <v>638</v>
      </c>
      <c r="AS42" s="65"/>
      <c r="AT42" s="65">
        <v>10152</v>
      </c>
      <c r="AU42" s="65"/>
      <c r="AV42" s="65">
        <v>12358</v>
      </c>
      <c r="AW42" s="65"/>
      <c r="AX42" s="65">
        <v>3525</v>
      </c>
      <c r="AY42" s="65"/>
      <c r="AZ42" s="65">
        <v>5536</v>
      </c>
      <c r="BA42" s="65"/>
      <c r="BB42" s="65">
        <v>2110</v>
      </c>
      <c r="BC42" s="65"/>
      <c r="BD42" s="65">
        <v>13660</v>
      </c>
      <c r="BE42" s="65"/>
      <c r="BF42" s="65">
        <v>9893</v>
      </c>
      <c r="BG42" s="65"/>
      <c r="BH42" s="65">
        <v>11432</v>
      </c>
      <c r="BI42" s="65"/>
      <c r="BJ42" s="65">
        <v>359547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0.16954452843366813</v>
      </c>
      <c r="C44" s="8">
        <v>845.17947424183558</v>
      </c>
      <c r="D44" s="7">
        <v>0.24724157308388206</v>
      </c>
      <c r="E44" s="8">
        <v>57.60728652854452</v>
      </c>
      <c r="F44" s="7">
        <v>0.37404411186274056</v>
      </c>
      <c r="G44" s="8">
        <v>1104.1782182188101</v>
      </c>
      <c r="H44" s="7">
        <v>0.33522097235096426</v>
      </c>
      <c r="I44" s="8">
        <v>3030.3975900527171</v>
      </c>
      <c r="J44" s="7">
        <v>0.1475450138299311</v>
      </c>
      <c r="K44" s="8">
        <v>993.86321315841587</v>
      </c>
      <c r="L44" s="7">
        <v>6.8354461710666337E-2</v>
      </c>
      <c r="M44" s="8">
        <v>2855.8494102716395</v>
      </c>
      <c r="N44" s="7"/>
      <c r="O44" s="8"/>
      <c r="P44" s="7">
        <v>0.20115992481222103</v>
      </c>
      <c r="Q44" s="8">
        <v>1151.2382497003409</v>
      </c>
      <c r="R44" s="7">
        <v>0.21901395789904257</v>
      </c>
      <c r="S44" s="8">
        <v>2170.8663506953098</v>
      </c>
      <c r="T44" s="7"/>
      <c r="U44" s="8"/>
      <c r="V44" s="7">
        <v>0.6400094416362001</v>
      </c>
      <c r="W44" s="8">
        <v>1548.182839317968</v>
      </c>
      <c r="X44" s="7">
        <v>0.72245933391876926</v>
      </c>
      <c r="Y44" s="8">
        <v>33467.206184453069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0.2060864660343586</v>
      </c>
      <c r="AM44" s="8">
        <v>644.22629282340495</v>
      </c>
      <c r="AN44" s="7"/>
      <c r="AO44" s="8"/>
      <c r="AP44" s="7">
        <v>3.6586533069825088E-3</v>
      </c>
      <c r="AQ44" s="8">
        <v>24.984943433383553</v>
      </c>
      <c r="AR44" s="7"/>
      <c r="AS44" s="8"/>
      <c r="AT44" s="7">
        <v>0.44699003761900141</v>
      </c>
      <c r="AU44" s="8">
        <v>4537.8428619081023</v>
      </c>
      <c r="AV44" s="7">
        <v>0.12757682540900231</v>
      </c>
      <c r="AW44" s="8">
        <v>1576.5944084044504</v>
      </c>
      <c r="AX44" s="7"/>
      <c r="AY44" s="8"/>
      <c r="AZ44" s="7"/>
      <c r="BA44" s="8"/>
      <c r="BB44" s="7"/>
      <c r="BC44" s="8"/>
      <c r="BD44" s="7"/>
      <c r="BE44" s="8"/>
      <c r="BF44" s="7">
        <v>2.6564979969036517E-2</v>
      </c>
      <c r="BG44" s="8">
        <v>262.80734683367825</v>
      </c>
      <c r="BH44" s="7"/>
      <c r="BI44" s="8"/>
      <c r="BJ44" s="7">
        <v>0.15094278264049393</v>
      </c>
      <c r="BK44" s="8">
        <v>54271.024670041676</v>
      </c>
    </row>
    <row r="45" spans="1:63" x14ac:dyDescent="0.35">
      <c r="A45" s="6" t="s">
        <v>10</v>
      </c>
      <c r="B45" s="7">
        <v>0.34396038587960653</v>
      </c>
      <c r="C45" s="8">
        <v>1767.612423035298</v>
      </c>
      <c r="D45" s="7"/>
      <c r="E45" s="8"/>
      <c r="F45" s="7">
        <v>0.37773891695035566</v>
      </c>
      <c r="G45" s="8">
        <v>1115.08528283745</v>
      </c>
      <c r="H45" s="7">
        <v>0.12566683959039424</v>
      </c>
      <c r="I45" s="8">
        <v>1136.028229897164</v>
      </c>
      <c r="J45" s="7"/>
      <c r="K45" s="8"/>
      <c r="L45" s="7">
        <v>6.0893969878690807E-2</v>
      </c>
      <c r="M45" s="8">
        <v>2544.1500615317018</v>
      </c>
      <c r="N45" s="7"/>
      <c r="O45" s="8"/>
      <c r="P45" s="7">
        <v>7.056581198943554E-2</v>
      </c>
      <c r="Q45" s="8">
        <v>403.84814201553957</v>
      </c>
      <c r="R45" s="7"/>
      <c r="S45" s="8"/>
      <c r="T45" s="7"/>
      <c r="U45" s="8"/>
      <c r="V45" s="7">
        <v>0.21521817124732773</v>
      </c>
      <c r="W45" s="8">
        <v>520.6127562472858</v>
      </c>
      <c r="X45" s="7"/>
      <c r="Y45" s="8"/>
      <c r="Z45" s="7"/>
      <c r="AA45" s="8"/>
      <c r="AB45" s="7"/>
      <c r="AC45" s="8"/>
      <c r="AD45" s="7"/>
      <c r="AE45" s="8"/>
      <c r="AF45" s="7">
        <v>7.9994535645909248E-2</v>
      </c>
      <c r="AG45" s="8">
        <v>4406.1790179123273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3.3079168824873433E-2</v>
      </c>
      <c r="BK45" s="8">
        <v>11893.515913476767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0.12809283535340565</v>
      </c>
      <c r="M46" s="10">
        <v>5351.718661065288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1.4884614976804947E-2</v>
      </c>
      <c r="BK46" s="10">
        <v>5351.718661065288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0.27986965407756326</v>
      </c>
      <c r="M47" s="10">
        <v>11692.954147360593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3.2521350886978877E-2</v>
      </c>
      <c r="BK47" s="10">
        <v>11692.954147360593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0.26504047209557102</v>
      </c>
      <c r="I48" s="10">
        <v>2395.965867743962</v>
      </c>
      <c r="J48" s="9">
        <v>6.2750436237678259E-2</v>
      </c>
      <c r="K48" s="10">
        <v>422.68693849700071</v>
      </c>
      <c r="L48" s="9">
        <v>0.11471827032120108</v>
      </c>
      <c r="M48" s="10">
        <v>4792.929334019781</v>
      </c>
      <c r="N48" s="9"/>
      <c r="O48" s="10"/>
      <c r="P48" s="9">
        <v>0.2326036213898155</v>
      </c>
      <c r="Q48" s="10">
        <v>1331.190525213914</v>
      </c>
      <c r="R48" s="9">
        <v>0.1226471158550357</v>
      </c>
      <c r="S48" s="10">
        <v>1215.6782123551138</v>
      </c>
      <c r="T48" s="9">
        <v>0.19905120323212083</v>
      </c>
      <c r="U48" s="10">
        <v>198.25499841919236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8.3378785961433666E-2</v>
      </c>
      <c r="AG48" s="10">
        <v>4588.2512126717329</v>
      </c>
      <c r="AH48" s="9"/>
      <c r="AI48" s="10"/>
      <c r="AJ48" s="9"/>
      <c r="AK48" s="10"/>
      <c r="AL48" s="9"/>
      <c r="AM48" s="10"/>
      <c r="AN48" s="9">
        <v>0.34040010071716037</v>
      </c>
      <c r="AO48" s="10">
        <v>3056.4525043393828</v>
      </c>
      <c r="AP48" s="9">
        <v>7.1041163987356243E-2</v>
      </c>
      <c r="AQ48" s="10">
        <v>485.14010886965582</v>
      </c>
      <c r="AR48" s="9"/>
      <c r="AS48" s="10"/>
      <c r="AT48" s="9"/>
      <c r="AU48" s="10"/>
      <c r="AV48" s="9">
        <v>0.23799049130535049</v>
      </c>
      <c r="AW48" s="10">
        <v>2941.0864915515212</v>
      </c>
      <c r="AX48" s="9">
        <v>8.4202986062400079E-2</v>
      </c>
      <c r="AY48" s="10">
        <v>296.81552586996025</v>
      </c>
      <c r="AZ48" s="9">
        <v>0.13569926093883905</v>
      </c>
      <c r="BA48" s="10">
        <v>751.23110855741299</v>
      </c>
      <c r="BB48" s="9"/>
      <c r="BC48" s="10"/>
      <c r="BD48" s="9"/>
      <c r="BE48" s="10"/>
      <c r="BF48" s="9"/>
      <c r="BG48" s="10"/>
      <c r="BH48" s="9">
        <v>2.4955423297608557E-2</v>
      </c>
      <c r="BI48" s="10">
        <v>285.29039913826102</v>
      </c>
      <c r="BJ48" s="9">
        <v>6.3304583899314662E-2</v>
      </c>
      <c r="BK48" s="10">
        <v>22760.97322724689</v>
      </c>
    </row>
    <row r="49" spans="1:65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4.587626046621552E-2</v>
      </c>
      <c r="M49" s="10">
        <v>1916.7101622784844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5.3309029480943645E-3</v>
      </c>
      <c r="BK49" s="10">
        <v>1916.7101622784844</v>
      </c>
    </row>
    <row r="50" spans="1:65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2.0560165895572344E-2</v>
      </c>
      <c r="AG50" s="8">
        <v>1124.846676146763</v>
      </c>
      <c r="AH50" s="7"/>
      <c r="AI50" s="8"/>
      <c r="AJ50" s="7"/>
      <c r="AK50" s="8"/>
      <c r="AL50" s="7"/>
      <c r="AM50" s="8"/>
      <c r="AN50" s="7"/>
      <c r="AO50" s="8"/>
      <c r="AP50" s="7">
        <v>3.5988976653477972E-2</v>
      </c>
      <c r="AQ50" s="8">
        <v>245.76872156660107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3.8120618381278781E-3</v>
      </c>
      <c r="BK50" s="8">
        <v>1370.6153977133642</v>
      </c>
    </row>
    <row r="51" spans="1:65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7.5922181276790969E-3</v>
      </c>
      <c r="AG51" s="10">
        <v>415.37025376532341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2.2454055304854397E-3</v>
      </c>
      <c r="BK51" s="8">
        <v>807.32882226944844</v>
      </c>
    </row>
    <row r="52" spans="1:65" x14ac:dyDescent="0.35">
      <c r="A52" s="6" t="s">
        <v>12</v>
      </c>
      <c r="B52" s="9">
        <v>1.2800000000000001E-2</v>
      </c>
      <c r="C52" s="10">
        <v>65.779200000000003</v>
      </c>
      <c r="D52" s="9">
        <v>0.8</v>
      </c>
      <c r="E52" s="10">
        <v>186.4</v>
      </c>
      <c r="F52" s="9">
        <v>0.7018973577235772</v>
      </c>
      <c r="G52" s="10">
        <v>2072.0009999999997</v>
      </c>
      <c r="H52" s="9"/>
      <c r="I52" s="10"/>
      <c r="J52" s="9">
        <v>0.41110846054725858</v>
      </c>
      <c r="K52" s="10">
        <v>2769.2265902463337</v>
      </c>
      <c r="L52" s="9"/>
      <c r="M52" s="10"/>
      <c r="N52" s="9">
        <v>0.91262373567093746</v>
      </c>
      <c r="O52" s="10">
        <v>1353.4210000000003</v>
      </c>
      <c r="P52" s="9">
        <v>9.507602174633531E-2</v>
      </c>
      <c r="Q52" s="10">
        <v>544.12007245427696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156</v>
      </c>
      <c r="AF52" s="9"/>
      <c r="AG52" s="10"/>
      <c r="AH52" s="9">
        <v>0.68799999999999994</v>
      </c>
      <c r="AI52" s="10">
        <v>921.23199999999997</v>
      </c>
      <c r="AJ52" s="9">
        <v>0.75</v>
      </c>
      <c r="AK52" s="10">
        <v>174</v>
      </c>
      <c r="AL52" s="9">
        <v>0.997</v>
      </c>
      <c r="AM52" s="10">
        <v>3116.6219999999998</v>
      </c>
      <c r="AN52" s="9"/>
      <c r="AO52" s="10"/>
      <c r="AP52" s="9"/>
      <c r="AQ52" s="10"/>
      <c r="AR52" s="9">
        <v>0.63300000000000001</v>
      </c>
      <c r="AS52" s="10">
        <v>403.85399999999998</v>
      </c>
      <c r="AT52" s="9"/>
      <c r="AU52" s="10"/>
      <c r="AV52" s="9"/>
      <c r="AW52" s="10"/>
      <c r="AX52" s="9"/>
      <c r="AY52" s="10"/>
      <c r="AZ52" s="9"/>
      <c r="BA52" s="10"/>
      <c r="BB52" s="9">
        <v>0.40421800947867303</v>
      </c>
      <c r="BC52" s="10">
        <v>852.90000000000009</v>
      </c>
      <c r="BD52" s="9">
        <v>3.455484855093742E-2</v>
      </c>
      <c r="BE52" s="10">
        <v>470.04960483840171</v>
      </c>
      <c r="BF52" s="9"/>
      <c r="BG52" s="10"/>
      <c r="BH52" s="9"/>
      <c r="BI52" s="10"/>
      <c r="BJ52" s="9">
        <v>3.6395370762275656E-2</v>
      </c>
      <c r="BK52" s="10">
        <v>13085.846371463926</v>
      </c>
    </row>
    <row r="53" spans="1:65" x14ac:dyDescent="0.35">
      <c r="A53" s="6" t="s">
        <v>13</v>
      </c>
      <c r="B53" s="7">
        <v>1.445960889075841E-3</v>
      </c>
      <c r="C53" s="8">
        <v>7.4307930089607472</v>
      </c>
      <c r="D53" s="7"/>
      <c r="E53" s="8"/>
      <c r="F53" s="7"/>
      <c r="G53" s="8"/>
      <c r="H53" s="7">
        <v>4.4011677713770118E-3</v>
      </c>
      <c r="I53" s="8">
        <v>39.786556653248184</v>
      </c>
      <c r="J53" s="7">
        <v>6.041964034310377E-3</v>
      </c>
      <c r="K53" s="8">
        <v>40.698669735114699</v>
      </c>
      <c r="L53" s="7">
        <v>1.5357006110218134E-2</v>
      </c>
      <c r="M53" s="8">
        <v>641.61571528491368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4.8298072399116022E-2</v>
      </c>
      <c r="Y53" s="8">
        <v>2237.3599058166506</v>
      </c>
      <c r="Z53" s="7"/>
      <c r="AA53" s="8"/>
      <c r="AB53" s="7"/>
      <c r="AC53" s="8"/>
      <c r="AD53" s="7"/>
      <c r="AE53" s="8"/>
      <c r="AF53" s="7">
        <v>1.4657738722864666E-2</v>
      </c>
      <c r="AG53" s="8">
        <v>807.36290659410861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2.0142305784852869E-2</v>
      </c>
      <c r="AU53" s="8">
        <v>204.48468832782632</v>
      </c>
      <c r="AV53" s="7"/>
      <c r="AW53" s="8"/>
      <c r="AX53" s="7">
        <v>7.5344685544070514E-3</v>
      </c>
      <c r="AY53" s="8">
        <v>31.27557896934367</v>
      </c>
      <c r="AZ53" s="7"/>
      <c r="BA53" s="8"/>
      <c r="BB53" s="7"/>
      <c r="BC53" s="8"/>
      <c r="BD53" s="7"/>
      <c r="BE53" s="8"/>
      <c r="BF53" s="7">
        <v>9.0435375600129E-2</v>
      </c>
      <c r="BG53" s="8">
        <v>894.67717081207616</v>
      </c>
      <c r="BH53" s="7">
        <v>4.9787447654957339E-4</v>
      </c>
      <c r="BI53" s="8">
        <v>5.691701015914723</v>
      </c>
      <c r="BJ53" s="7">
        <v>1.9340919530201558E-2</v>
      </c>
      <c r="BK53" s="8">
        <v>6953.9695943253801</v>
      </c>
    </row>
    <row r="54" spans="1:65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0.86450402597363374</v>
      </c>
      <c r="AC54" s="8">
        <v>13603.8353527211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3.7836041888045513E-2</v>
      </c>
      <c r="BK54" s="8">
        <v>13603.8353527211</v>
      </c>
    </row>
    <row r="55" spans="1:65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1.165</v>
      </c>
      <c r="F55" s="11"/>
      <c r="G55" s="17"/>
      <c r="H55" s="11">
        <v>2.5999999999999999E-2</v>
      </c>
      <c r="I55" s="17">
        <f>H55*H42</f>
        <v>235.04</v>
      </c>
      <c r="J55" s="11">
        <v>0.02</v>
      </c>
      <c r="K55" s="17">
        <f>J55*J42</f>
        <v>134.72</v>
      </c>
      <c r="L55" s="11"/>
      <c r="M55" s="12"/>
      <c r="N55" s="11"/>
      <c r="O55" s="12"/>
      <c r="P55" s="11">
        <v>2E-3</v>
      </c>
      <c r="Q55" s="17">
        <f>P55*P42</f>
        <v>11.446</v>
      </c>
      <c r="R55" s="11"/>
      <c r="S55" s="17"/>
      <c r="T55" s="11"/>
      <c r="U55" s="12"/>
      <c r="V55" s="11">
        <v>2.7E-2</v>
      </c>
      <c r="W55" s="17">
        <f>V55*V42</f>
        <v>65.313000000000002</v>
      </c>
      <c r="X55" s="11">
        <v>0.13200000000000001</v>
      </c>
      <c r="Y55" s="17">
        <f>X55*X42</f>
        <v>6114.768</v>
      </c>
      <c r="Z55" s="11">
        <v>0.94399999999999995</v>
      </c>
      <c r="AA55" s="17">
        <f>Z55*Z42</f>
        <v>2564.848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2">
        <f>AL55*AL42</f>
        <v>21.882000000000001</v>
      </c>
      <c r="AN55" s="11"/>
      <c r="AO55" s="12"/>
      <c r="AP55" s="11">
        <v>5.0000000000000001E-3</v>
      </c>
      <c r="AQ55" s="12">
        <f>AP55*AP42</f>
        <v>34.145000000000003</v>
      </c>
      <c r="AR55" s="11"/>
      <c r="AS55" s="12"/>
      <c r="AT55" s="11">
        <v>5.7000000000000002E-2</v>
      </c>
      <c r="AU55" s="17">
        <f>AT55*AT42</f>
        <v>578.66399999999999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69.251000000000005</v>
      </c>
      <c r="BH55" s="11"/>
      <c r="BI55" s="12"/>
      <c r="BJ55" s="11">
        <v>3.7709115379349178E-2</v>
      </c>
      <c r="BK55" s="12">
        <v>13558.199307298859</v>
      </c>
      <c r="BM55"/>
    </row>
    <row r="56" spans="1:65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7.8001106398672332E-2</v>
      </c>
      <c r="Y56" s="8">
        <v>3591.4162988953344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1.0012786496419776E-2</v>
      </c>
      <c r="BK56" s="8">
        <v>3591.4162988953344</v>
      </c>
    </row>
    <row r="57" spans="1:65" x14ac:dyDescent="0.3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4.6877695857899235E-2</v>
      </c>
      <c r="AG57" s="8">
        <v>2582.0703655489478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7.1814543454651212E-3</v>
      </c>
      <c r="BK57" s="8">
        <v>2582.0703655489478</v>
      </c>
    </row>
    <row r="58" spans="1:65" ht="58" x14ac:dyDescent="0.3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0.29857301366299072</v>
      </c>
      <c r="BK58" s="8">
        <v>107351.03134348732</v>
      </c>
    </row>
    <row r="59" spans="1:65" ht="43.5" x14ac:dyDescent="0.3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0.14138903950546899</v>
      </c>
      <c r="BK59" s="8">
        <v>50836.004987072862</v>
      </c>
    </row>
    <row r="60" spans="1:65" x14ac:dyDescent="0.35">
      <c r="A60" s="6" t="s">
        <v>204</v>
      </c>
      <c r="B60" s="13">
        <v>0.46293959533813178</v>
      </c>
      <c r="C60" s="14">
        <v>2307.7538827605867</v>
      </c>
      <c r="D60" s="13">
        <v>0.85020107304369263</v>
      </c>
      <c r="E60" s="14">
        <v>198.09685001918038</v>
      </c>
      <c r="F60" s="13">
        <v>0.88388663932304434</v>
      </c>
      <c r="G60" s="14">
        <v>2609.2333592816267</v>
      </c>
      <c r="H60" s="13">
        <v>0.58575142825040705</v>
      </c>
      <c r="I60" s="14">
        <v>5295.1929113836795</v>
      </c>
      <c r="J60" s="13">
        <v>0.54169336762320874</v>
      </c>
      <c r="K60" s="14">
        <v>3648.846524309934</v>
      </c>
      <c r="L60" s="13">
        <v>0.54310995612344981</v>
      </c>
      <c r="M60" s="14">
        <v>22691.133966837733</v>
      </c>
      <c r="N60" s="13">
        <v>0.91262373567093746</v>
      </c>
      <c r="O60" s="14">
        <v>1353.4210000000003</v>
      </c>
      <c r="P60" s="13">
        <v>0.4854342567744182</v>
      </c>
      <c r="Q60" s="14">
        <v>2778.1402515199952</v>
      </c>
      <c r="R60" s="13">
        <v>0.3147996434857645</v>
      </c>
      <c r="S60" s="14">
        <v>3120.2940662308979</v>
      </c>
      <c r="T60" s="13">
        <v>0.19905120323212078</v>
      </c>
      <c r="U60" s="14">
        <v>198.2549984191923</v>
      </c>
      <c r="V60" s="13">
        <v>0.72511383058917533</v>
      </c>
      <c r="W60" s="14">
        <v>1754.050356195215</v>
      </c>
      <c r="X60" s="13">
        <v>0.78861327989423013</v>
      </c>
      <c r="Y60" s="14">
        <v>36531.721577820317</v>
      </c>
      <c r="Z60" s="13">
        <v>0.94399999999999995</v>
      </c>
      <c r="AA60" s="14">
        <v>2564.848</v>
      </c>
      <c r="AB60" s="13">
        <v>0.86450402597363374</v>
      </c>
      <c r="AC60" s="14">
        <v>13603.8353527211</v>
      </c>
      <c r="AD60" s="13">
        <v>1</v>
      </c>
      <c r="AE60" s="14">
        <v>156</v>
      </c>
      <c r="AF60" s="13">
        <v>0.23018923885508558</v>
      </c>
      <c r="AG60" s="14">
        <v>12679.053465376968</v>
      </c>
      <c r="AH60" s="13">
        <v>0.68799999999999994</v>
      </c>
      <c r="AI60" s="14">
        <v>921.23199999999997</v>
      </c>
      <c r="AJ60" s="13">
        <v>0.75</v>
      </c>
      <c r="AK60" s="14">
        <v>174</v>
      </c>
      <c r="AL60" s="13">
        <v>0.99763493158231642</v>
      </c>
      <c r="AM60" s="14">
        <v>3118.6067961263211</v>
      </c>
      <c r="AN60" s="13">
        <v>0.34040010071716043</v>
      </c>
      <c r="AO60" s="14">
        <v>3056.4525043393833</v>
      </c>
      <c r="AP60" s="13">
        <v>0.11221111373686787</v>
      </c>
      <c r="AQ60" s="14">
        <v>766.28969570907066</v>
      </c>
      <c r="AR60" s="13">
        <v>0.63300000000000001</v>
      </c>
      <c r="AS60" s="14">
        <v>403.85399999999998</v>
      </c>
      <c r="AT60" s="13">
        <v>0.48901558418049851</v>
      </c>
      <c r="AU60" s="14">
        <v>4964.4862106004211</v>
      </c>
      <c r="AV60" s="13">
        <v>0.33520524535608742</v>
      </c>
      <c r="AW60" s="14">
        <v>4142.4664221105286</v>
      </c>
      <c r="AX60" s="13">
        <v>9.1103029866132834E-2</v>
      </c>
      <c r="AY60" s="14">
        <v>321.13818027811823</v>
      </c>
      <c r="AZ60" s="13">
        <v>0.13569926093883899</v>
      </c>
      <c r="BA60" s="14">
        <v>751.23110855741265</v>
      </c>
      <c r="BB60" s="13">
        <v>0.40421800947867303</v>
      </c>
      <c r="BC60" s="14">
        <v>852.90000000000009</v>
      </c>
      <c r="BD60" s="13">
        <v>3.4554848550937378E-2</v>
      </c>
      <c r="BE60" s="14">
        <v>472.0192312058046</v>
      </c>
      <c r="BF60" s="13">
        <v>0.12079575603646076</v>
      </c>
      <c r="BG60" s="14">
        <v>1195.0324144687063</v>
      </c>
      <c r="BH60" s="13">
        <v>2.5440873105846751E-2</v>
      </c>
      <c r="BI60" s="14">
        <v>290.84006134604005</v>
      </c>
      <c r="BJ60" s="13">
        <v>0.37688205845114586</v>
      </c>
      <c r="BK60" s="14">
        <v>135506.81346993413</v>
      </c>
    </row>
  </sheetData>
  <mergeCells count="93">
    <mergeCell ref="B3:C3"/>
    <mergeCell ref="D3:E3"/>
    <mergeCell ref="F3:G3"/>
    <mergeCell ref="H3:I3"/>
    <mergeCell ref="J3:K3"/>
    <mergeCell ref="L3:M3"/>
    <mergeCell ref="AH3:AI3"/>
    <mergeCell ref="AJ3:AK3"/>
    <mergeCell ref="AL3:AM3"/>
    <mergeCell ref="AN3:AO3"/>
    <mergeCell ref="N3:O3"/>
    <mergeCell ref="P3:Q3"/>
    <mergeCell ref="R3:S3"/>
    <mergeCell ref="T3:U3"/>
    <mergeCell ref="V3:W3"/>
    <mergeCell ref="AR3:AS3"/>
    <mergeCell ref="X3:Y3"/>
    <mergeCell ref="Z3:AA3"/>
    <mergeCell ref="AB3:AC3"/>
    <mergeCell ref="AD3:AE3"/>
    <mergeCell ref="AF3:AG3"/>
    <mergeCell ref="BB3:BC3"/>
    <mergeCell ref="BD3:BE3"/>
    <mergeCell ref="BF3:BG3"/>
    <mergeCell ref="BH3:BI3"/>
    <mergeCell ref="BJ3:BK3"/>
    <mergeCell ref="AT3:AU3"/>
    <mergeCell ref="AV3:AW3"/>
    <mergeCell ref="AX3:AY3"/>
    <mergeCell ref="AZ3:BA3"/>
    <mergeCell ref="N21:O21"/>
    <mergeCell ref="P21:Q21"/>
    <mergeCell ref="R21:S21"/>
    <mergeCell ref="T21:U21"/>
    <mergeCell ref="V21:W21"/>
    <mergeCell ref="AP21:AQ21"/>
    <mergeCell ref="AR21:AS21"/>
    <mergeCell ref="AT21:AU21"/>
    <mergeCell ref="AV21:AW21"/>
    <mergeCell ref="AX21:AY21"/>
    <mergeCell ref="AZ21:BA21"/>
    <mergeCell ref="AP3:AQ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B42:C42"/>
    <mergeCell ref="D42:E42"/>
    <mergeCell ref="F42:G42"/>
    <mergeCell ref="H42:I42"/>
    <mergeCell ref="J42:K42"/>
    <mergeCell ref="L42:M42"/>
    <mergeCell ref="AH42:AI42"/>
    <mergeCell ref="AJ42:AK42"/>
    <mergeCell ref="AL42:AM42"/>
    <mergeCell ref="AN42:AO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BD42:BE42"/>
    <mergeCell ref="BF42:BG42"/>
    <mergeCell ref="BH42:BI42"/>
    <mergeCell ref="BJ42:BK42"/>
    <mergeCell ref="AP42:AQ42"/>
    <mergeCell ref="AR42:AS42"/>
    <mergeCell ref="AT42:AU42"/>
    <mergeCell ref="AV42:AW42"/>
    <mergeCell ref="AX42:AY42"/>
    <mergeCell ref="AZ42:BA42"/>
    <mergeCell ref="BB42:BC42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M60"/>
  <sheetViews>
    <sheetView zoomScale="80" zoomScaleNormal="80" workbookViewId="0"/>
  </sheetViews>
  <sheetFormatPr defaultRowHeight="14.5" x14ac:dyDescent="0.35"/>
  <cols>
    <col min="1" max="1" width="26.54296875" customWidth="1"/>
    <col min="63" max="63" width="10.453125" customWidth="1"/>
  </cols>
  <sheetData>
    <row r="1" spans="1:63" s="15" customFormat="1" ht="63" customHeight="1" x14ac:dyDescent="0.35">
      <c r="A1" s="1" t="s">
        <v>26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35">
      <c r="A3" s="2" t="s">
        <v>5</v>
      </c>
      <c r="B3" s="65">
        <v>3166</v>
      </c>
      <c r="C3" s="65"/>
      <c r="D3" s="65">
        <v>162</v>
      </c>
      <c r="E3" s="65"/>
      <c r="F3" s="65">
        <v>2235</v>
      </c>
      <c r="G3" s="65"/>
      <c r="H3" s="66">
        <v>6077</v>
      </c>
      <c r="I3" s="67"/>
      <c r="J3" s="65">
        <v>4353</v>
      </c>
      <c r="K3" s="65"/>
      <c r="L3" s="65">
        <v>23068</v>
      </c>
      <c r="M3" s="65"/>
      <c r="N3" s="65">
        <v>483</v>
      </c>
      <c r="O3" s="65"/>
      <c r="P3" s="65">
        <v>3675</v>
      </c>
      <c r="Q3" s="65"/>
      <c r="R3" s="65">
        <v>4958</v>
      </c>
      <c r="S3" s="65"/>
      <c r="T3" s="65">
        <v>281</v>
      </c>
      <c r="U3" s="65"/>
      <c r="V3" s="65">
        <v>1956</v>
      </c>
      <c r="W3" s="65"/>
      <c r="X3" s="65">
        <v>24492</v>
      </c>
      <c r="Y3" s="65"/>
      <c r="Z3" s="65">
        <v>2289</v>
      </c>
      <c r="AA3" s="65"/>
      <c r="AB3" s="65">
        <v>7942</v>
      </c>
      <c r="AC3" s="65"/>
      <c r="AD3" s="65">
        <v>137</v>
      </c>
      <c r="AE3" s="65"/>
      <c r="AF3" s="65"/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638</v>
      </c>
      <c r="AS3" s="65"/>
      <c r="AT3" s="65">
        <v>7293</v>
      </c>
      <c r="AU3" s="65"/>
      <c r="AV3" s="65">
        <v>7740</v>
      </c>
      <c r="AW3" s="65"/>
      <c r="AX3" s="65">
        <v>958</v>
      </c>
      <c r="AY3" s="65"/>
      <c r="AZ3" s="65">
        <v>3193</v>
      </c>
      <c r="BA3" s="65"/>
      <c r="BB3" s="65">
        <v>1203</v>
      </c>
      <c r="BC3" s="65"/>
      <c r="BD3" s="65">
        <v>7460</v>
      </c>
      <c r="BE3" s="65"/>
      <c r="BF3" s="65">
        <v>5876</v>
      </c>
      <c r="BG3" s="65"/>
      <c r="BH3" s="65">
        <v>5466</v>
      </c>
      <c r="BI3" s="65"/>
      <c r="BJ3" s="65">
        <v>182562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0.17597447239559699</v>
      </c>
      <c r="C5" s="8">
        <v>557.13517960446006</v>
      </c>
      <c r="D5" s="7">
        <v>0.26114805633827015</v>
      </c>
      <c r="E5" s="8">
        <v>42.305985126799762</v>
      </c>
      <c r="F5" s="7">
        <v>0.37838797814097158</v>
      </c>
      <c r="G5" s="8">
        <v>845.69713114507147</v>
      </c>
      <c r="H5" s="7">
        <v>0.33787754185977931</v>
      </c>
      <c r="I5" s="8">
        <v>2053.2818218818788</v>
      </c>
      <c r="J5" s="7">
        <v>0.20960610564192117</v>
      </c>
      <c r="K5" s="8">
        <v>912.4153778592829</v>
      </c>
      <c r="L5" s="7">
        <v>7.8006256036797741E-2</v>
      </c>
      <c r="M5" s="8">
        <v>1799.4483142568504</v>
      </c>
      <c r="N5" s="7"/>
      <c r="O5" s="8"/>
      <c r="P5" s="7">
        <v>0.24078223250640288</v>
      </c>
      <c r="Q5" s="8">
        <v>884.87470446103055</v>
      </c>
      <c r="R5" s="7">
        <v>0.23440339430061305</v>
      </c>
      <c r="S5" s="8">
        <v>1162.1720289424395</v>
      </c>
      <c r="T5" s="7"/>
      <c r="U5" s="8"/>
      <c r="V5" s="7">
        <v>0.64625640688541885</v>
      </c>
      <c r="W5" s="8">
        <v>1264.0775318678793</v>
      </c>
      <c r="X5" s="7">
        <v>0.74096032000213319</v>
      </c>
      <c r="Y5" s="8">
        <v>18147.600157492245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0.45957440449672232</v>
      </c>
      <c r="AU5" s="8">
        <v>3351.6761319945958</v>
      </c>
      <c r="AV5" s="7">
        <v>0.13827833636795195</v>
      </c>
      <c r="AW5" s="8">
        <v>1070.2743234879481</v>
      </c>
      <c r="AX5" s="7"/>
      <c r="AY5" s="8"/>
      <c r="AZ5" s="7"/>
      <c r="BA5" s="8"/>
      <c r="BB5" s="7"/>
      <c r="BC5" s="8"/>
      <c r="BD5" s="7"/>
      <c r="BE5" s="8"/>
      <c r="BF5" s="7">
        <v>2.564628264479785E-2</v>
      </c>
      <c r="BG5" s="8">
        <v>150.69755682083218</v>
      </c>
      <c r="BH5" s="7"/>
      <c r="BI5" s="8"/>
      <c r="BJ5" s="7">
        <v>0.17660661169871777</v>
      </c>
      <c r="BK5" s="8">
        <v>32241.656244941314</v>
      </c>
    </row>
    <row r="6" spans="1:63" x14ac:dyDescent="0.35">
      <c r="A6" s="6" t="s">
        <v>10</v>
      </c>
      <c r="B6" s="7">
        <v>0.42060415628825321</v>
      </c>
      <c r="C6" s="8">
        <v>1396.4057988770007</v>
      </c>
      <c r="D6" s="7"/>
      <c r="E6" s="8"/>
      <c r="F6" s="7">
        <v>0.43114164468928151</v>
      </c>
      <c r="G6" s="8">
        <v>963.60157588054415</v>
      </c>
      <c r="H6" s="7">
        <v>0.10481707508868485</v>
      </c>
      <c r="I6" s="8">
        <v>636.97336531393785</v>
      </c>
      <c r="J6" s="7"/>
      <c r="K6" s="8"/>
      <c r="L6" s="7">
        <v>8.0224334742905107E-2</v>
      </c>
      <c r="M6" s="8">
        <v>1850.6149538493351</v>
      </c>
      <c r="N6" s="7"/>
      <c r="O6" s="8"/>
      <c r="P6" s="7">
        <v>0.10206184009925642</v>
      </c>
      <c r="Q6" s="8">
        <v>375.07726236476736</v>
      </c>
      <c r="R6" s="7"/>
      <c r="S6" s="8"/>
      <c r="T6" s="7"/>
      <c r="U6" s="8"/>
      <c r="V6" s="7">
        <v>0.23818866801785468</v>
      </c>
      <c r="W6" s="8">
        <v>465.89703464292376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3.115966077786456E-2</v>
      </c>
      <c r="BK6" s="8">
        <v>5688.5699909285095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0.16290161305242465</v>
      </c>
      <c r="M7" s="10">
        <v>3757.8144098933317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2.0583771047059801E-2</v>
      </c>
      <c r="BK7" s="10">
        <v>3757.8144098933317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0.24861711122138075</v>
      </c>
      <c r="M8" s="10">
        <v>5735.0995216548108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3.1414530524724808E-2</v>
      </c>
      <c r="BK8" s="10">
        <v>5735.0995216548108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0.31266112367402493</v>
      </c>
      <c r="I9" s="10">
        <v>1900.0416485670494</v>
      </c>
      <c r="J9" s="9">
        <v>7.358491272038116E-2</v>
      </c>
      <c r="K9" s="10">
        <v>320.31512507181918</v>
      </c>
      <c r="L9" s="9">
        <v>0.15270180302918557</v>
      </c>
      <c r="M9" s="10">
        <v>3522.5251922772527</v>
      </c>
      <c r="N9" s="9"/>
      <c r="O9" s="10"/>
      <c r="P9" s="9">
        <v>0.23425592000651649</v>
      </c>
      <c r="Q9" s="10">
        <v>860.89050602394809</v>
      </c>
      <c r="R9" s="9">
        <v>0.14002919444208103</v>
      </c>
      <c r="S9" s="10">
        <v>694.26474604383782</v>
      </c>
      <c r="T9" s="9">
        <v>0.12425209210513351</v>
      </c>
      <c r="U9" s="10">
        <v>34.914837881542518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0.21174063776293164</v>
      </c>
      <c r="AW9" s="10">
        <v>1638.872536285091</v>
      </c>
      <c r="AX9" s="9">
        <v>9.3655244556724027E-2</v>
      </c>
      <c r="AY9" s="10">
        <v>89.721724285341622</v>
      </c>
      <c r="AZ9" s="9">
        <v>0.15820616658546616</v>
      </c>
      <c r="BA9" s="10">
        <v>505.15228990739348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5.2402463855256154E-2</v>
      </c>
      <c r="BK9" s="10">
        <v>9566.6986063432742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4.1495505610929379E-2</v>
      </c>
      <c r="M10" s="10">
        <v>957.21832343291885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5.243250640510724E-3</v>
      </c>
      <c r="BK10" s="10">
        <v>957.21832343291885</v>
      </c>
    </row>
    <row r="11" spans="1:63" x14ac:dyDescent="0.35">
      <c r="A11" s="6" t="s">
        <v>12</v>
      </c>
      <c r="B11" s="7">
        <v>1.2800000000000001E-2</v>
      </c>
      <c r="C11" s="8">
        <v>42.496000000000002</v>
      </c>
      <c r="D11" s="7">
        <v>0.80000000000000016</v>
      </c>
      <c r="E11" s="8">
        <v>129.60000000000002</v>
      </c>
      <c r="F11" s="7">
        <v>0.72399999999999998</v>
      </c>
      <c r="G11" s="8">
        <v>1618.1399999999999</v>
      </c>
      <c r="H11" s="7"/>
      <c r="I11" s="8"/>
      <c r="J11" s="7">
        <v>0.39667544052768872</v>
      </c>
      <c r="K11" s="8">
        <v>1726.728192617029</v>
      </c>
      <c r="L11" s="7"/>
      <c r="M11" s="8"/>
      <c r="N11" s="7">
        <v>0.88700000000000012</v>
      </c>
      <c r="O11" s="8">
        <v>428.42100000000005</v>
      </c>
      <c r="P11" s="7">
        <v>0.10074836483282928</v>
      </c>
      <c r="Q11" s="8">
        <v>370.25024076064761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137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403.85399999999998</v>
      </c>
      <c r="AT11" s="7"/>
      <c r="AU11" s="8"/>
      <c r="AV11" s="7"/>
      <c r="AW11" s="8"/>
      <c r="AX11" s="7"/>
      <c r="AY11" s="8"/>
      <c r="AZ11" s="7"/>
      <c r="BA11" s="8"/>
      <c r="BB11" s="7">
        <v>0.40376558603491275</v>
      </c>
      <c r="BC11" s="8">
        <v>485.73</v>
      </c>
      <c r="BD11" s="7">
        <v>3.4917459288715619E-2</v>
      </c>
      <c r="BE11" s="8">
        <v>262.2999541768317</v>
      </c>
      <c r="BF11" s="7"/>
      <c r="BG11" s="8"/>
      <c r="BH11" s="7"/>
      <c r="BI11" s="8"/>
      <c r="BJ11" s="7">
        <v>3.0700339736544683E-2</v>
      </c>
      <c r="BK11" s="8">
        <v>5604.7154229830703</v>
      </c>
    </row>
    <row r="12" spans="1:63" x14ac:dyDescent="0.35">
      <c r="A12" s="6" t="s">
        <v>13</v>
      </c>
      <c r="B12" s="9">
        <v>1.4460365649764846E-3</v>
      </c>
      <c r="C12" s="10">
        <v>4.8008413957219291</v>
      </c>
      <c r="D12" s="9"/>
      <c r="E12" s="10"/>
      <c r="F12" s="9"/>
      <c r="G12" s="10"/>
      <c r="H12" s="9">
        <v>3.4177819250341824E-3</v>
      </c>
      <c r="I12" s="10">
        <v>20.769860758432728</v>
      </c>
      <c r="J12" s="9">
        <v>4.2730757958344967E-3</v>
      </c>
      <c r="K12" s="10">
        <v>18.600698939267563</v>
      </c>
      <c r="L12" s="9">
        <v>1.1760378386674365E-2</v>
      </c>
      <c r="M12" s="10">
        <v>271.28840862380423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4.6886154097112595E-2</v>
      </c>
      <c r="Y12" s="10">
        <v>1148.3356861464817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2.0986842822752361E-2</v>
      </c>
      <c r="AU12" s="10">
        <v>153.05704470633296</v>
      </c>
      <c r="AV12" s="9"/>
      <c r="AW12" s="10"/>
      <c r="AX12" s="9">
        <v>4.4574533831141889E-3</v>
      </c>
      <c r="AY12" s="10">
        <v>4.2702403410233929</v>
      </c>
      <c r="AZ12" s="9"/>
      <c r="BA12" s="10"/>
      <c r="BB12" s="9"/>
      <c r="BC12" s="10"/>
      <c r="BD12" s="9"/>
      <c r="BE12" s="10"/>
      <c r="BF12" s="9">
        <v>8.3020723026643289E-2</v>
      </c>
      <c r="BG12" s="10">
        <v>487.82976850455594</v>
      </c>
      <c r="BH12" s="9">
        <v>4.9770927512738478E-4</v>
      </c>
      <c r="BI12" s="10">
        <v>2.7204788978462853</v>
      </c>
      <c r="BJ12" s="9">
        <v>1.7471618515110806E-2</v>
      </c>
      <c r="BK12" s="8">
        <v>3189.653619355659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0.88454436396367542</v>
      </c>
      <c r="AC13" s="10">
        <v>7025.05133859951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3.8480359212757914E-2</v>
      </c>
      <c r="BK13" s="10">
        <v>7025.05133859951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0.97199999999999998</v>
      </c>
      <c r="F14" s="11"/>
      <c r="G14" s="17"/>
      <c r="H14" s="11">
        <v>3.3000000000000002E-2</v>
      </c>
      <c r="I14" s="17">
        <f>H14*H3</f>
        <v>200.541</v>
      </c>
      <c r="J14" s="11">
        <v>0.03</v>
      </c>
      <c r="K14" s="17">
        <f>J14*J3</f>
        <v>130.59</v>
      </c>
      <c r="L14" s="11"/>
      <c r="M14" s="12"/>
      <c r="N14" s="11"/>
      <c r="O14" s="12"/>
      <c r="P14" s="11">
        <v>3.0000000000000001E-3</v>
      </c>
      <c r="Q14" s="17">
        <f>P14*P3</f>
        <v>11.025</v>
      </c>
      <c r="R14" s="11">
        <v>2.0000000000000001E-4</v>
      </c>
      <c r="S14" s="17">
        <f>R14*R3</f>
        <v>0.99160000000000004</v>
      </c>
      <c r="T14" s="11"/>
      <c r="U14" s="12"/>
      <c r="V14" s="11">
        <v>2.9000000000000001E-2</v>
      </c>
      <c r="W14" s="17">
        <f>V14*V3</f>
        <v>56.724000000000004</v>
      </c>
      <c r="X14" s="11">
        <v>0.20499999999999999</v>
      </c>
      <c r="Y14" s="17">
        <f>X14*X3</f>
        <v>5020.8599999999997</v>
      </c>
      <c r="Z14" s="11">
        <v>0.97</v>
      </c>
      <c r="AA14" s="17">
        <f>Z14*Z3</f>
        <v>2220.33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517.803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52.883999999999993</v>
      </c>
      <c r="BH14" s="11"/>
      <c r="BI14" s="12"/>
      <c r="BJ14" s="11">
        <v>4.9776032300740916E-2</v>
      </c>
      <c r="BK14" s="12">
        <v>9087.2120088878637</v>
      </c>
    </row>
    <row r="15" spans="1:63" x14ac:dyDescent="0.3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7.8001106398672332E-2</v>
      </c>
      <c r="Y15" s="8">
        <v>1901.3692819082553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1.0435329886162593E-2</v>
      </c>
      <c r="BK15" s="8">
        <v>1901.3692819082553</v>
      </c>
    </row>
    <row r="16" spans="1:63" ht="58" x14ac:dyDescent="0.3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0.31409524870033023</v>
      </c>
      <c r="BK16" s="8">
        <v>57341.856793229686</v>
      </c>
    </row>
    <row r="17" spans="1:63" ht="43.5" x14ac:dyDescent="0.3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0.13364023272818726</v>
      </c>
      <c r="BK17" s="8">
        <v>24397.628167323321</v>
      </c>
    </row>
    <row r="18" spans="1:63" x14ac:dyDescent="0.35">
      <c r="A18" s="6" t="s">
        <v>204</v>
      </c>
      <c r="B18" s="13">
        <v>0.52935578165721031</v>
      </c>
      <c r="C18" s="14">
        <v>1675.9404047267278</v>
      </c>
      <c r="D18" s="13">
        <v>0.85311623360004829</v>
      </c>
      <c r="E18" s="14">
        <v>138.20482984320782</v>
      </c>
      <c r="F18" s="13">
        <v>0.90240386289867713</v>
      </c>
      <c r="G18" s="14">
        <v>2016.8726335785434</v>
      </c>
      <c r="H18" s="13">
        <v>0.60739066196533265</v>
      </c>
      <c r="I18" s="14">
        <v>3691.1130527633263</v>
      </c>
      <c r="J18" s="13">
        <v>0.57331027467546236</v>
      </c>
      <c r="K18" s="14">
        <v>2495.6196256622875</v>
      </c>
      <c r="L18" s="13">
        <v>0.57190476576964855</v>
      </c>
      <c r="M18" s="14">
        <v>13192.699136774252</v>
      </c>
      <c r="N18" s="13">
        <v>0.88700000000000012</v>
      </c>
      <c r="O18" s="14">
        <v>428.42100000000005</v>
      </c>
      <c r="P18" s="13">
        <v>0.53197092442617133</v>
      </c>
      <c r="Q18" s="14">
        <v>1954.9931472661797</v>
      </c>
      <c r="R18" s="13">
        <v>0.34174094841023694</v>
      </c>
      <c r="S18" s="14">
        <v>1694.3516222179549</v>
      </c>
      <c r="T18" s="13">
        <v>0.12425209210513355</v>
      </c>
      <c r="U18" s="14">
        <v>34.914837881542525</v>
      </c>
      <c r="V18" s="13">
        <v>0.73832921260690321</v>
      </c>
      <c r="W18" s="14">
        <v>1444.1719398591026</v>
      </c>
      <c r="X18" s="13">
        <v>0.81902916007085103</v>
      </c>
      <c r="Y18" s="14">
        <v>20059.662188455284</v>
      </c>
      <c r="Z18" s="13">
        <v>0.97</v>
      </c>
      <c r="AA18" s="14">
        <v>2220.33</v>
      </c>
      <c r="AB18" s="13">
        <v>0.88454436396367542</v>
      </c>
      <c r="AC18" s="14">
        <v>7025.05133859951</v>
      </c>
      <c r="AD18" s="13">
        <v>1</v>
      </c>
      <c r="AE18" s="14">
        <v>137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403.85399999999998</v>
      </c>
      <c r="AT18" s="13">
        <v>0.50848117908852908</v>
      </c>
      <c r="AU18" s="14">
        <v>3708.3532390926425</v>
      </c>
      <c r="AV18" s="13">
        <v>0.32073983099953629</v>
      </c>
      <c r="AW18" s="14">
        <v>2482.5262919364109</v>
      </c>
      <c r="AX18" s="13">
        <v>9.769523405314251E-2</v>
      </c>
      <c r="AY18" s="14">
        <v>93.592034222910527</v>
      </c>
      <c r="AZ18" s="13">
        <v>0.15820616658546616</v>
      </c>
      <c r="BA18" s="14">
        <v>505.15228990739342</v>
      </c>
      <c r="BB18" s="13">
        <v>0.40376558603491275</v>
      </c>
      <c r="BC18" s="14">
        <v>485.73</v>
      </c>
      <c r="BD18" s="13">
        <v>3.4917459288715591E-2</v>
      </c>
      <c r="BE18" s="14">
        <v>260.48424629381833</v>
      </c>
      <c r="BF18" s="13">
        <v>0.11457899224863444</v>
      </c>
      <c r="BG18" s="14">
        <v>673.2661584529759</v>
      </c>
      <c r="BH18" s="13">
        <v>4.9770927512737817E-4</v>
      </c>
      <c r="BI18" s="14">
        <v>2.7204788978462489</v>
      </c>
      <c r="BJ18" s="13">
        <v>0.38576135299579506</v>
      </c>
      <c r="BK18" s="14">
        <v>70425.364125618333</v>
      </c>
    </row>
    <row r="19" spans="1:63" ht="116" x14ac:dyDescent="0.35">
      <c r="A19" s="1" t="s">
        <v>26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1819</v>
      </c>
      <c r="C21" s="65"/>
      <c r="D21" s="65">
        <v>71</v>
      </c>
      <c r="E21" s="65"/>
      <c r="F21" s="65">
        <v>717</v>
      </c>
      <c r="G21" s="65"/>
      <c r="H21" s="66">
        <v>2963</v>
      </c>
      <c r="I21" s="67"/>
      <c r="J21" s="65">
        <v>2383</v>
      </c>
      <c r="K21" s="65"/>
      <c r="L21" s="65">
        <v>18712</v>
      </c>
      <c r="M21" s="65"/>
      <c r="N21" s="65">
        <v>1000</v>
      </c>
      <c r="O21" s="65"/>
      <c r="P21" s="65">
        <v>2048</v>
      </c>
      <c r="Q21" s="65"/>
      <c r="R21" s="65">
        <v>4954</v>
      </c>
      <c r="S21" s="65"/>
      <c r="T21" s="65">
        <v>715</v>
      </c>
      <c r="U21" s="65"/>
      <c r="V21" s="65">
        <v>463</v>
      </c>
      <c r="W21" s="65"/>
      <c r="X21" s="65">
        <v>21832</v>
      </c>
      <c r="Y21" s="65"/>
      <c r="Z21" s="65">
        <v>428</v>
      </c>
      <c r="AA21" s="65"/>
      <c r="AB21" s="65">
        <v>7794</v>
      </c>
      <c r="AC21" s="65"/>
      <c r="AD21" s="65">
        <v>19</v>
      </c>
      <c r="AE21" s="65"/>
      <c r="AF21" s="65">
        <v>54710</v>
      </c>
      <c r="AG21" s="65"/>
      <c r="AH21" s="65">
        <v>1339</v>
      </c>
      <c r="AI21" s="65"/>
      <c r="AJ21" s="65">
        <v>232</v>
      </c>
      <c r="AK21" s="65"/>
      <c r="AL21" s="65">
        <v>3126</v>
      </c>
      <c r="AM21" s="65"/>
      <c r="AN21" s="65">
        <v>8979</v>
      </c>
      <c r="AO21" s="65"/>
      <c r="AP21" s="65">
        <v>6829</v>
      </c>
      <c r="AQ21" s="65"/>
      <c r="AR21" s="65" t="s">
        <v>6</v>
      </c>
      <c r="AS21" s="65"/>
      <c r="AT21" s="65">
        <v>2859</v>
      </c>
      <c r="AU21" s="65"/>
      <c r="AV21" s="65">
        <v>4618</v>
      </c>
      <c r="AW21" s="65"/>
      <c r="AX21" s="65">
        <v>2567</v>
      </c>
      <c r="AY21" s="65"/>
      <c r="AZ21" s="65">
        <v>2343</v>
      </c>
      <c r="BA21" s="65"/>
      <c r="BB21" s="65">
        <v>907</v>
      </c>
      <c r="BC21" s="65"/>
      <c r="BD21" s="65">
        <v>6200</v>
      </c>
      <c r="BE21" s="65"/>
      <c r="BF21" s="65">
        <v>4017</v>
      </c>
      <c r="BG21" s="65"/>
      <c r="BH21" s="65">
        <v>5966</v>
      </c>
      <c r="BI21" s="65"/>
      <c r="BJ21" s="65">
        <v>176985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0.15835310315413717</v>
      </c>
      <c r="C23" s="8">
        <v>288.04429463737551</v>
      </c>
      <c r="D23" s="7">
        <v>0.21551128734851779</v>
      </c>
      <c r="E23" s="8">
        <v>15.301301401744762</v>
      </c>
      <c r="F23" s="7">
        <v>0.36050360819210414</v>
      </c>
      <c r="G23" s="8">
        <v>258.48108707373865</v>
      </c>
      <c r="H23" s="7">
        <v>0.32977244960203794</v>
      </c>
      <c r="I23" s="8">
        <v>977.11576817083835</v>
      </c>
      <c r="J23" s="7">
        <v>3.4178697146090196E-2</v>
      </c>
      <c r="K23" s="8">
        <v>81.447835299132933</v>
      </c>
      <c r="L23" s="7">
        <v>5.6455808893479523E-2</v>
      </c>
      <c r="M23" s="8">
        <v>1056.4010960147889</v>
      </c>
      <c r="N23" s="7"/>
      <c r="O23" s="8"/>
      <c r="P23" s="7">
        <v>0.130060324823882</v>
      </c>
      <c r="Q23" s="8">
        <v>266.36354523931033</v>
      </c>
      <c r="R23" s="7">
        <v>0.20361209563037355</v>
      </c>
      <c r="S23" s="8">
        <v>1008.6943217528706</v>
      </c>
      <c r="T23" s="7"/>
      <c r="U23" s="8"/>
      <c r="V23" s="7">
        <v>0.61361837462222191</v>
      </c>
      <c r="W23" s="8">
        <v>284.10530745008873</v>
      </c>
      <c r="X23" s="7">
        <v>0.70170419691099395</v>
      </c>
      <c r="Y23" s="8">
        <v>15319.606026960821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0.2060864660343586</v>
      </c>
      <c r="AM23" s="8">
        <v>644.22629282340495</v>
      </c>
      <c r="AN23" s="7"/>
      <c r="AO23" s="8"/>
      <c r="AP23" s="7">
        <v>3.6586533069825088E-3</v>
      </c>
      <c r="AQ23" s="8">
        <v>24.984943433383553</v>
      </c>
      <c r="AR23" s="7"/>
      <c r="AS23" s="8"/>
      <c r="AT23" s="7">
        <v>0.41488867782913819</v>
      </c>
      <c r="AU23" s="8">
        <v>1186.1667299135061</v>
      </c>
      <c r="AV23" s="7">
        <v>0.10964055541717241</v>
      </c>
      <c r="AW23" s="8">
        <v>506.3200849165022</v>
      </c>
      <c r="AX23" s="7"/>
      <c r="AY23" s="8"/>
      <c r="AZ23" s="7"/>
      <c r="BA23" s="8"/>
      <c r="BB23" s="7"/>
      <c r="BC23" s="8"/>
      <c r="BD23" s="7"/>
      <c r="BE23" s="8"/>
      <c r="BF23" s="7">
        <v>2.7908834954654241E-2</v>
      </c>
      <c r="BG23" s="8">
        <v>112.10979001284609</v>
      </c>
      <c r="BH23" s="7"/>
      <c r="BI23" s="8"/>
      <c r="BJ23" s="7">
        <v>0.1244702569432458</v>
      </c>
      <c r="BK23" s="8">
        <v>22029.368425100358</v>
      </c>
    </row>
    <row r="24" spans="1:63" x14ac:dyDescent="0.35">
      <c r="A24" s="6" t="s">
        <v>10</v>
      </c>
      <c r="B24" s="7">
        <v>0.20407181097212607</v>
      </c>
      <c r="C24" s="8">
        <v>371.2066241582973</v>
      </c>
      <c r="D24" s="7"/>
      <c r="E24" s="8"/>
      <c r="F24" s="7">
        <v>0.21127434722023136</v>
      </c>
      <c r="G24" s="8">
        <v>151.48370695690588</v>
      </c>
      <c r="H24" s="7">
        <v>0.16842891143544586</v>
      </c>
      <c r="I24" s="8">
        <v>499.05486458322611</v>
      </c>
      <c r="J24" s="7"/>
      <c r="K24" s="8"/>
      <c r="L24" s="7">
        <v>3.7063654750019596E-2</v>
      </c>
      <c r="M24" s="8">
        <v>693.53510768236663</v>
      </c>
      <c r="N24" s="7"/>
      <c r="O24" s="8"/>
      <c r="P24" s="7">
        <v>1.4048281079478628E-2</v>
      </c>
      <c r="Q24" s="8">
        <v>28.77087965077223</v>
      </c>
      <c r="R24" s="7"/>
      <c r="S24" s="8"/>
      <c r="T24" s="7"/>
      <c r="U24" s="8"/>
      <c r="V24" s="7">
        <v>0.11817650454505844</v>
      </c>
      <c r="W24" s="8">
        <v>54.715721604362059</v>
      </c>
      <c r="X24" s="7"/>
      <c r="Y24" s="8"/>
      <c r="Z24" s="7"/>
      <c r="AA24" s="8"/>
      <c r="AB24" s="7"/>
      <c r="AC24" s="8"/>
      <c r="AD24" s="7"/>
      <c r="AE24" s="8"/>
      <c r="AF24" s="7">
        <v>8.0536995392292601E-2</v>
      </c>
      <c r="AG24" s="8">
        <v>4406.1790179123282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3.5059162768303863E-2</v>
      </c>
      <c r="BK24" s="8">
        <v>6204.9459225482587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8.5180859938646658E-2</v>
      </c>
      <c r="M25" s="10">
        <v>1593.9042511719563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9.005871973172621E-3</v>
      </c>
      <c r="BK25" s="10">
        <v>1593.9042511719563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0.31839753236991142</v>
      </c>
      <c r="M26" s="10">
        <v>5957.8546257057824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3.3663048426170482E-2</v>
      </c>
      <c r="BK26" s="10">
        <v>5957.8546257057824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0.16737233181806027</v>
      </c>
      <c r="I27" s="10">
        <v>495.92421917691257</v>
      </c>
      <c r="J27" s="9">
        <v>4.2959216712203749E-2</v>
      </c>
      <c r="K27" s="10">
        <v>102.37181342518153</v>
      </c>
      <c r="L27" s="9">
        <v>6.7892482991798231E-2</v>
      </c>
      <c r="M27" s="10">
        <v>1270.4041417425285</v>
      </c>
      <c r="N27" s="9"/>
      <c r="O27" s="10"/>
      <c r="P27" s="9">
        <v>0.22963868124510051</v>
      </c>
      <c r="Q27" s="10">
        <v>470.30001918996584</v>
      </c>
      <c r="R27" s="9">
        <v>0.10525100248511829</v>
      </c>
      <c r="S27" s="10">
        <v>521.41346631127601</v>
      </c>
      <c r="T27" s="9">
        <v>0.22844777697573404</v>
      </c>
      <c r="U27" s="10">
        <v>163.34016053764984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8.3864946310943739E-2</v>
      </c>
      <c r="AG27" s="10">
        <v>4588.251212671732</v>
      </c>
      <c r="AH27" s="9"/>
      <c r="AI27" s="10"/>
      <c r="AJ27" s="9"/>
      <c r="AK27" s="10"/>
      <c r="AL27" s="9"/>
      <c r="AM27" s="10"/>
      <c r="AN27" s="9">
        <v>0.34040010071716037</v>
      </c>
      <c r="AO27" s="10">
        <v>3056.4525043393828</v>
      </c>
      <c r="AP27" s="9">
        <v>7.1041163987356243E-2</v>
      </c>
      <c r="AQ27" s="10">
        <v>485.14010886965582</v>
      </c>
      <c r="AR27" s="9"/>
      <c r="AS27" s="10"/>
      <c r="AT27" s="9"/>
      <c r="AU27" s="10"/>
      <c r="AV27" s="9">
        <v>0.28198656458779353</v>
      </c>
      <c r="AW27" s="10">
        <v>1302.2139552664305</v>
      </c>
      <c r="AX27" s="9">
        <v>8.0675419394085943E-2</v>
      </c>
      <c r="AY27" s="10">
        <v>207.09380158461863</v>
      </c>
      <c r="AZ27" s="9">
        <v>0.10502723800683716</v>
      </c>
      <c r="BA27" s="10">
        <v>246.07881865001949</v>
      </c>
      <c r="BB27" s="9"/>
      <c r="BC27" s="10"/>
      <c r="BD27" s="9"/>
      <c r="BE27" s="10"/>
      <c r="BF27" s="9"/>
      <c r="BG27" s="10"/>
      <c r="BH27" s="9">
        <v>4.781937632220265E-2</v>
      </c>
      <c r="BI27" s="10">
        <v>285.29039913826102</v>
      </c>
      <c r="BJ27" s="9">
        <v>7.4550242229022873E-2</v>
      </c>
      <c r="BK27" s="10">
        <v>13194.274620903614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5.1276819091789522E-2</v>
      </c>
      <c r="M28" s="10">
        <v>959.49183884556555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5.4213172802529339E-3</v>
      </c>
      <c r="BK28" s="10">
        <v>959.49183884556555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2.0560165895572344E-2</v>
      </c>
      <c r="AG29" s="8">
        <v>1124.846676146763</v>
      </c>
      <c r="AH29" s="7"/>
      <c r="AI29" s="8"/>
      <c r="AJ29" s="7"/>
      <c r="AK29" s="8"/>
      <c r="AL29" s="7"/>
      <c r="AM29" s="8"/>
      <c r="AN29" s="7"/>
      <c r="AO29" s="8"/>
      <c r="AP29" s="7">
        <v>3.5988976653477972E-2</v>
      </c>
      <c r="AQ29" s="8">
        <v>245.76872156660107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7.7442461096328174E-3</v>
      </c>
      <c r="BK29" s="8">
        <v>1370.6153977133642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7.5922181276790969E-3</v>
      </c>
      <c r="AG30" s="10">
        <v>415.37025376532341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4.5615663602534022E-3</v>
      </c>
      <c r="BK30" s="8">
        <v>807.32882226944844</v>
      </c>
    </row>
    <row r="31" spans="1:63" x14ac:dyDescent="0.35">
      <c r="A31" s="6" t="s">
        <v>12</v>
      </c>
      <c r="B31" s="9">
        <v>1.2800000000000001E-2</v>
      </c>
      <c r="C31" s="10">
        <v>23.283200000000001</v>
      </c>
      <c r="D31" s="9">
        <v>0.8</v>
      </c>
      <c r="E31" s="10">
        <v>56.800000000000004</v>
      </c>
      <c r="F31" s="9">
        <v>0.63300000000000012</v>
      </c>
      <c r="G31" s="10">
        <v>453.86100000000005</v>
      </c>
      <c r="H31" s="9"/>
      <c r="I31" s="10"/>
      <c r="J31" s="9">
        <v>0.43747310013818913</v>
      </c>
      <c r="K31" s="10">
        <v>1042.4983976293047</v>
      </c>
      <c r="L31" s="9"/>
      <c r="M31" s="10"/>
      <c r="N31" s="9">
        <v>0.92500000000000016</v>
      </c>
      <c r="O31" s="10">
        <v>925.00000000000011</v>
      </c>
      <c r="P31" s="9">
        <v>8.4897378756654943E-2</v>
      </c>
      <c r="Q31" s="10">
        <v>173.86983169362932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19</v>
      </c>
      <c r="AF31" s="9"/>
      <c r="AG31" s="10"/>
      <c r="AH31" s="9">
        <v>0.68799999999999994</v>
      </c>
      <c r="AI31" s="10">
        <v>921.23199999999997</v>
      </c>
      <c r="AJ31" s="9">
        <v>0.75</v>
      </c>
      <c r="AK31" s="10">
        <v>174</v>
      </c>
      <c r="AL31" s="9">
        <v>0.997</v>
      </c>
      <c r="AM31" s="10">
        <v>3116.6219999999998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0.4048180815876517</v>
      </c>
      <c r="BC31" s="10">
        <v>367.17000000000007</v>
      </c>
      <c r="BD31" s="9">
        <v>3.4107642531861757E-2</v>
      </c>
      <c r="BE31" s="10">
        <v>207.74965066156997</v>
      </c>
      <c r="BF31" s="9"/>
      <c r="BG31" s="10"/>
      <c r="BH31" s="9"/>
      <c r="BI31" s="10"/>
      <c r="BJ31" s="9">
        <v>4.2269858736507931E-2</v>
      </c>
      <c r="BK31" s="10">
        <v>7481.1309484808562</v>
      </c>
    </row>
    <row r="32" spans="1:63" x14ac:dyDescent="0.35">
      <c r="A32" s="6" t="s">
        <v>13</v>
      </c>
      <c r="B32" s="7">
        <v>1.4458227670361837E-3</v>
      </c>
      <c r="C32" s="8">
        <v>2.6299516132388181</v>
      </c>
      <c r="D32" s="7"/>
      <c r="E32" s="8"/>
      <c r="F32" s="7"/>
      <c r="G32" s="8"/>
      <c r="H32" s="7">
        <v>6.418054638817232E-3</v>
      </c>
      <c r="I32" s="8">
        <v>19.016695894815459</v>
      </c>
      <c r="J32" s="7">
        <v>9.2731728056429444E-3</v>
      </c>
      <c r="K32" s="8">
        <v>22.097970795847136</v>
      </c>
      <c r="L32" s="7">
        <v>1.9790899244394478E-2</v>
      </c>
      <c r="M32" s="8">
        <v>370.32730666110945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4.9882018123404578E-2</v>
      </c>
      <c r="Y32" s="8">
        <v>1089.0242196701688</v>
      </c>
      <c r="Z32" s="7"/>
      <c r="AA32" s="8"/>
      <c r="AB32" s="7"/>
      <c r="AC32" s="8"/>
      <c r="AD32" s="7"/>
      <c r="AE32" s="8"/>
      <c r="AF32" s="7">
        <v>1.475311209816332E-2</v>
      </c>
      <c r="AG32" s="8">
        <v>807.1427628905152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1.7987983078521636E-2</v>
      </c>
      <c r="AU32" s="8">
        <v>51.42764362149336</v>
      </c>
      <c r="AV32" s="7"/>
      <c r="AW32" s="8"/>
      <c r="AX32" s="7">
        <v>8.4576694733229808E-3</v>
      </c>
      <c r="AY32" s="8">
        <v>27.005338628320278</v>
      </c>
      <c r="AZ32" s="7"/>
      <c r="BA32" s="8"/>
      <c r="BB32" s="7"/>
      <c r="BC32" s="8"/>
      <c r="BD32" s="7"/>
      <c r="BE32" s="8"/>
      <c r="BF32" s="7">
        <v>0.10128140460729904</v>
      </c>
      <c r="BG32" s="8">
        <v>406.84740230752021</v>
      </c>
      <c r="BH32" s="7">
        <v>4.9802583273021077E-4</v>
      </c>
      <c r="BI32" s="8">
        <v>2.9712221180684377</v>
      </c>
      <c r="BJ32" s="7">
        <v>2.1269124360650458E-2</v>
      </c>
      <c r="BK32" s="8">
        <v>3764.3159749697211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0.84408314268945206</v>
      </c>
      <c r="AC33" s="8">
        <v>6578.7840141215893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3.7171421386680163E-2</v>
      </c>
      <c r="BK33" s="8">
        <v>6578.7840141215893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0.14200000000000002</v>
      </c>
      <c r="F34" s="11"/>
      <c r="G34" s="17"/>
      <c r="H34" s="11">
        <v>1.0999999999999999E-2</v>
      </c>
      <c r="I34" s="17">
        <f>H34*H21</f>
        <v>32.592999999999996</v>
      </c>
      <c r="J34" s="11">
        <v>3.0000000000000001E-3</v>
      </c>
      <c r="K34" s="17">
        <f>J34*J21</f>
        <v>7.149</v>
      </c>
      <c r="L34" s="11"/>
      <c r="M34" s="12"/>
      <c r="N34" s="11"/>
      <c r="O34" s="12"/>
      <c r="P34" s="11">
        <v>1E-3</v>
      </c>
      <c r="Q34" s="17">
        <f>P34*P21</f>
        <v>2.048</v>
      </c>
      <c r="R34" s="11"/>
      <c r="S34" s="17"/>
      <c r="T34" s="11"/>
      <c r="U34" s="12"/>
      <c r="V34" s="11">
        <v>1.6E-2</v>
      </c>
      <c r="W34" s="17">
        <f>V34*V21</f>
        <v>7.4080000000000004</v>
      </c>
      <c r="X34" s="11">
        <v>4.2999999999999997E-2</v>
      </c>
      <c r="Y34" s="17">
        <f>X34*X21</f>
        <v>938.77599999999995</v>
      </c>
      <c r="Z34" s="11">
        <v>0.82499999999999996</v>
      </c>
      <c r="AA34" s="17">
        <f>Z34*Z21</f>
        <v>353.09999999999997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21.882000000000001</v>
      </c>
      <c r="AN34" s="11"/>
      <c r="AO34" s="12"/>
      <c r="AP34" s="11">
        <v>5.0000000000000001E-3</v>
      </c>
      <c r="AQ34" s="17">
        <f>AP34*AP21</f>
        <v>34.145000000000003</v>
      </c>
      <c r="AR34" s="11"/>
      <c r="AS34" s="12"/>
      <c r="AT34" s="11">
        <v>1.9E-2</v>
      </c>
      <c r="AU34" s="17">
        <f>AT34*AT21</f>
        <v>54.320999999999998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20.085000000000001</v>
      </c>
      <c r="BH34" s="11"/>
      <c r="BI34" s="12"/>
      <c r="BJ34" s="11">
        <v>2.4510924996576967E-2</v>
      </c>
      <c r="BK34" s="12">
        <v>4338.0660605191742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7.8001106398672332E-2</v>
      </c>
      <c r="Y35" s="8">
        <v>1690.0470169870787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9.57653088196307E-3</v>
      </c>
      <c r="BK35" s="8">
        <v>1690.0470169870787</v>
      </c>
    </row>
    <row r="36" spans="1:63" x14ac:dyDescent="0.3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4.7195583358598935E-2</v>
      </c>
      <c r="AG36" s="8">
        <v>2582.0703655489478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1.4589204540209328E-2</v>
      </c>
      <c r="BK36" s="8">
        <v>2582.0703655489478</v>
      </c>
    </row>
    <row r="37" spans="1:63" ht="58" x14ac:dyDescent="0.3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0.28301144392279498</v>
      </c>
      <c r="BK37" s="8">
        <v>50088.780402675868</v>
      </c>
    </row>
    <row r="38" spans="1:63" ht="43.5" x14ac:dyDescent="0.3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0.14946469188506506</v>
      </c>
      <c r="BK38" s="8">
        <v>26453.008493278241</v>
      </c>
    </row>
    <row r="39" spans="1:63" x14ac:dyDescent="0.35">
      <c r="A39" s="6" t="s">
        <v>204</v>
      </c>
      <c r="B39" s="13">
        <v>0.3396402534428028</v>
      </c>
      <c r="C39" s="14">
        <v>617.80562101245823</v>
      </c>
      <c r="D39" s="13">
        <v>0.84341605295476418</v>
      </c>
      <c r="E39" s="14">
        <v>59.882539759788258</v>
      </c>
      <c r="F39" s="13">
        <v>0.81488989426801095</v>
      </c>
      <c r="G39" s="14">
        <v>584.2760541901639</v>
      </c>
      <c r="H39" s="13">
        <v>0.54399198205440991</v>
      </c>
      <c r="I39" s="14">
        <v>1611.8482428272166</v>
      </c>
      <c r="J39" s="13">
        <v>0.48640640150735071</v>
      </c>
      <c r="K39" s="14">
        <v>1159.1064547920166</v>
      </c>
      <c r="L39" s="13">
        <v>0.50892200523350617</v>
      </c>
      <c r="M39" s="14">
        <v>9522.9485619293682</v>
      </c>
      <c r="N39" s="13">
        <v>0.92500000000000016</v>
      </c>
      <c r="O39" s="14">
        <v>925.00000000000011</v>
      </c>
      <c r="P39" s="13">
        <v>0.39594770026457771</v>
      </c>
      <c r="Q39" s="14">
        <v>810.90089014185514</v>
      </c>
      <c r="R39" s="13">
        <v>0.28743272093229921</v>
      </c>
      <c r="S39" s="14">
        <v>1423.9416994986102</v>
      </c>
      <c r="T39" s="13">
        <v>0.22844777697573404</v>
      </c>
      <c r="U39" s="14">
        <v>163.34016053764984</v>
      </c>
      <c r="V39" s="13">
        <v>0.66473113085732904</v>
      </c>
      <c r="W39" s="14">
        <v>307.77051358694337</v>
      </c>
      <c r="X39" s="13">
        <v>0.74992687667660174</v>
      </c>
      <c r="Y39" s="14">
        <v>16372.403571603569</v>
      </c>
      <c r="Z39" s="13">
        <v>0.82499999999999996</v>
      </c>
      <c r="AA39" s="14">
        <v>353.09999999999997</v>
      </c>
      <c r="AB39" s="13">
        <v>0.84408314268945206</v>
      </c>
      <c r="AC39" s="14">
        <v>6578.7840141215893</v>
      </c>
      <c r="AD39" s="13">
        <v>1</v>
      </c>
      <c r="AE39" s="14">
        <v>19</v>
      </c>
      <c r="AF39" s="13">
        <v>0.23138205854292959</v>
      </c>
      <c r="AG39" s="14">
        <v>12658.912422883677</v>
      </c>
      <c r="AH39" s="13">
        <v>0.68799999999999994</v>
      </c>
      <c r="AI39" s="14">
        <v>921.23199999999997</v>
      </c>
      <c r="AJ39" s="13">
        <v>0.75</v>
      </c>
      <c r="AK39" s="14">
        <v>174</v>
      </c>
      <c r="AL39" s="13">
        <v>0.99763493158231642</v>
      </c>
      <c r="AM39" s="14">
        <v>3118.6067961263211</v>
      </c>
      <c r="AN39" s="13">
        <v>0.34040010071716043</v>
      </c>
      <c r="AO39" s="14">
        <v>3056.4525043393833</v>
      </c>
      <c r="AP39" s="13">
        <v>0.11221111373686787</v>
      </c>
      <c r="AQ39" s="14">
        <v>766.28969570907066</v>
      </c>
      <c r="AR39" s="13">
        <v>0</v>
      </c>
      <c r="AS39" s="14" t="s">
        <v>68</v>
      </c>
      <c r="AT39" s="13">
        <v>0.43633079103396255</v>
      </c>
      <c r="AU39" s="14">
        <v>1247.469731566099</v>
      </c>
      <c r="AV39" s="13">
        <v>0.36070995644338</v>
      </c>
      <c r="AW39" s="14">
        <v>1665.7585788555289</v>
      </c>
      <c r="AX39" s="13">
        <v>8.8450762835552088E-2</v>
      </c>
      <c r="AY39" s="14">
        <v>227.05310819886222</v>
      </c>
      <c r="AZ39" s="13">
        <v>0.10502723800683711</v>
      </c>
      <c r="BA39" s="14">
        <v>246.07881865001934</v>
      </c>
      <c r="BB39" s="13">
        <v>0.40481808158765165</v>
      </c>
      <c r="BC39" s="14">
        <v>367.17</v>
      </c>
      <c r="BD39" s="13">
        <v>3.4107642531861715E-2</v>
      </c>
      <c r="BE39" s="14">
        <v>211.46738369754263</v>
      </c>
      <c r="BF39" s="13">
        <v>0.13073177558900861</v>
      </c>
      <c r="BG39" s="14">
        <v>525.14954254104759</v>
      </c>
      <c r="BH39" s="13">
        <v>4.829358687021934E-2</v>
      </c>
      <c r="BI39" s="14">
        <v>288.11953926772861</v>
      </c>
      <c r="BJ39" s="13">
        <v>0.3679996078610378</v>
      </c>
      <c r="BK39" s="14">
        <v>65130.410597285772</v>
      </c>
    </row>
    <row r="40" spans="1:63" ht="116" x14ac:dyDescent="0.35">
      <c r="A40" s="1" t="s">
        <v>26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4985</v>
      </c>
      <c r="C42" s="65"/>
      <c r="D42" s="65">
        <v>233</v>
      </c>
      <c r="E42" s="65"/>
      <c r="F42" s="65">
        <v>2952</v>
      </c>
      <c r="G42" s="65"/>
      <c r="H42" s="66">
        <v>9040</v>
      </c>
      <c r="I42" s="67"/>
      <c r="J42" s="65">
        <v>6736</v>
      </c>
      <c r="K42" s="65"/>
      <c r="L42" s="65">
        <v>41780</v>
      </c>
      <c r="M42" s="65"/>
      <c r="N42" s="65">
        <v>1483</v>
      </c>
      <c r="O42" s="65"/>
      <c r="P42" s="65">
        <v>5723</v>
      </c>
      <c r="Q42" s="65"/>
      <c r="R42" s="65">
        <v>9912</v>
      </c>
      <c r="S42" s="65"/>
      <c r="T42" s="65">
        <v>996</v>
      </c>
      <c r="U42" s="65"/>
      <c r="V42" s="65">
        <v>2419</v>
      </c>
      <c r="W42" s="65"/>
      <c r="X42" s="65">
        <v>46324</v>
      </c>
      <c r="Y42" s="65"/>
      <c r="Z42" s="65">
        <v>2717</v>
      </c>
      <c r="AA42" s="65"/>
      <c r="AB42" s="65">
        <v>15736</v>
      </c>
      <c r="AC42" s="65"/>
      <c r="AD42" s="65">
        <v>156</v>
      </c>
      <c r="AE42" s="65"/>
      <c r="AF42" s="65">
        <v>55081</v>
      </c>
      <c r="AG42" s="65"/>
      <c r="AH42" s="65">
        <v>1339</v>
      </c>
      <c r="AI42" s="65"/>
      <c r="AJ42" s="65">
        <v>232</v>
      </c>
      <c r="AK42" s="65"/>
      <c r="AL42" s="65">
        <v>3126</v>
      </c>
      <c r="AM42" s="65"/>
      <c r="AN42" s="65">
        <v>8979</v>
      </c>
      <c r="AO42" s="65"/>
      <c r="AP42" s="65">
        <v>6829</v>
      </c>
      <c r="AQ42" s="65"/>
      <c r="AR42" s="65">
        <v>638</v>
      </c>
      <c r="AS42" s="65"/>
      <c r="AT42" s="65">
        <v>10152</v>
      </c>
      <c r="AU42" s="65"/>
      <c r="AV42" s="65">
        <v>12358</v>
      </c>
      <c r="AW42" s="65"/>
      <c r="AX42" s="65">
        <v>3525</v>
      </c>
      <c r="AY42" s="65"/>
      <c r="AZ42" s="65">
        <v>5536</v>
      </c>
      <c r="BA42" s="65"/>
      <c r="BB42" s="65">
        <v>2110</v>
      </c>
      <c r="BC42" s="65"/>
      <c r="BD42" s="65">
        <v>13660</v>
      </c>
      <c r="BE42" s="65"/>
      <c r="BF42" s="65">
        <v>9893</v>
      </c>
      <c r="BG42" s="65"/>
      <c r="BH42" s="65">
        <v>11432</v>
      </c>
      <c r="BI42" s="65"/>
      <c r="BJ42" s="65">
        <v>359547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0.16954452843366813</v>
      </c>
      <c r="C44" s="8">
        <v>845.17947424183558</v>
      </c>
      <c r="D44" s="7">
        <v>0.24724157308388206</v>
      </c>
      <c r="E44" s="8">
        <v>57.60728652854452</v>
      </c>
      <c r="F44" s="7">
        <v>0.37404411186274056</v>
      </c>
      <c r="G44" s="8">
        <v>1104.1782182188101</v>
      </c>
      <c r="H44" s="7">
        <v>0.33522097235096426</v>
      </c>
      <c r="I44" s="8">
        <v>3030.3975900527171</v>
      </c>
      <c r="J44" s="7">
        <v>0.1475450138299311</v>
      </c>
      <c r="K44" s="8">
        <v>993.86321315841587</v>
      </c>
      <c r="L44" s="7">
        <v>6.8354461710666337E-2</v>
      </c>
      <c r="M44" s="8">
        <v>2855.8494102716395</v>
      </c>
      <c r="N44" s="7"/>
      <c r="O44" s="8"/>
      <c r="P44" s="7">
        <v>0.20115992481222103</v>
      </c>
      <c r="Q44" s="8">
        <v>1151.2382497003409</v>
      </c>
      <c r="R44" s="7">
        <v>0.21901395789904257</v>
      </c>
      <c r="S44" s="8">
        <v>2170.8663506953098</v>
      </c>
      <c r="T44" s="7"/>
      <c r="U44" s="8"/>
      <c r="V44" s="7">
        <v>0.6400094416362001</v>
      </c>
      <c r="W44" s="8">
        <v>1548.182839317968</v>
      </c>
      <c r="X44" s="7">
        <v>0.72245933391876926</v>
      </c>
      <c r="Y44" s="8">
        <v>33467.206184453069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0.2060864660343586</v>
      </c>
      <c r="AM44" s="8">
        <v>644.22629282340495</v>
      </c>
      <c r="AN44" s="7"/>
      <c r="AO44" s="8"/>
      <c r="AP44" s="7">
        <v>3.6586533069825088E-3</v>
      </c>
      <c r="AQ44" s="8">
        <v>24.984943433383553</v>
      </c>
      <c r="AR44" s="7"/>
      <c r="AS44" s="8"/>
      <c r="AT44" s="7">
        <v>0.44699003761900141</v>
      </c>
      <c r="AU44" s="8">
        <v>4537.8428619081023</v>
      </c>
      <c r="AV44" s="7">
        <v>0.12757682540900231</v>
      </c>
      <c r="AW44" s="8">
        <v>1576.5944084044504</v>
      </c>
      <c r="AX44" s="7"/>
      <c r="AY44" s="8"/>
      <c r="AZ44" s="7"/>
      <c r="BA44" s="8"/>
      <c r="BB44" s="7"/>
      <c r="BC44" s="8"/>
      <c r="BD44" s="7"/>
      <c r="BE44" s="8"/>
      <c r="BF44" s="7">
        <v>2.6564979969036517E-2</v>
      </c>
      <c r="BG44" s="8">
        <v>262.80734683367825</v>
      </c>
      <c r="BH44" s="7"/>
      <c r="BI44" s="8"/>
      <c r="BJ44" s="7">
        <v>0.15094278264049393</v>
      </c>
      <c r="BK44" s="8">
        <v>54271.024670041676</v>
      </c>
    </row>
    <row r="45" spans="1:63" x14ac:dyDescent="0.35">
      <c r="A45" s="6" t="s">
        <v>10</v>
      </c>
      <c r="B45" s="7">
        <v>0.34396038587960653</v>
      </c>
      <c r="C45" s="8">
        <v>1767.612423035298</v>
      </c>
      <c r="D45" s="7"/>
      <c r="E45" s="8"/>
      <c r="F45" s="7">
        <v>0.37773891695035566</v>
      </c>
      <c r="G45" s="8">
        <v>1115.08528283745</v>
      </c>
      <c r="H45" s="7">
        <v>0.12566683959039424</v>
      </c>
      <c r="I45" s="8">
        <v>1136.028229897164</v>
      </c>
      <c r="J45" s="7"/>
      <c r="K45" s="8"/>
      <c r="L45" s="7">
        <v>6.0893969878690807E-2</v>
      </c>
      <c r="M45" s="8">
        <v>2544.1500615317018</v>
      </c>
      <c r="N45" s="7"/>
      <c r="O45" s="8"/>
      <c r="P45" s="7">
        <v>7.056581198943554E-2</v>
      </c>
      <c r="Q45" s="8">
        <v>403.84814201553957</v>
      </c>
      <c r="R45" s="7"/>
      <c r="S45" s="8"/>
      <c r="T45" s="7"/>
      <c r="U45" s="8"/>
      <c r="V45" s="7">
        <v>0.21521817124732773</v>
      </c>
      <c r="W45" s="8">
        <v>520.6127562472858</v>
      </c>
      <c r="X45" s="7"/>
      <c r="Y45" s="8"/>
      <c r="Z45" s="7"/>
      <c r="AA45" s="8"/>
      <c r="AB45" s="7"/>
      <c r="AC45" s="8"/>
      <c r="AD45" s="7"/>
      <c r="AE45" s="8"/>
      <c r="AF45" s="7">
        <v>7.9994535645909248E-2</v>
      </c>
      <c r="AG45" s="8">
        <v>4406.1790179123273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3.3079168824873433E-2</v>
      </c>
      <c r="BK45" s="8">
        <v>11893.515913476767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0.12809283535340565</v>
      </c>
      <c r="M46" s="10">
        <v>5351.718661065288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1.4884614976804947E-2</v>
      </c>
      <c r="BK46" s="10">
        <v>5351.718661065288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0.27986965407756326</v>
      </c>
      <c r="M47" s="10">
        <v>11692.954147360593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3.2521350886978877E-2</v>
      </c>
      <c r="BK47" s="10">
        <v>11692.954147360593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0.26504047209557102</v>
      </c>
      <c r="I48" s="10">
        <v>2395.965867743962</v>
      </c>
      <c r="J48" s="9">
        <v>6.2750436237678259E-2</v>
      </c>
      <c r="K48" s="10">
        <v>422.68693849700071</v>
      </c>
      <c r="L48" s="9">
        <v>0.11471827032120108</v>
      </c>
      <c r="M48" s="10">
        <v>4792.929334019781</v>
      </c>
      <c r="N48" s="9"/>
      <c r="O48" s="10"/>
      <c r="P48" s="9">
        <v>0.2326036213898155</v>
      </c>
      <c r="Q48" s="10">
        <v>1331.190525213914</v>
      </c>
      <c r="R48" s="9">
        <v>0.1226471158550357</v>
      </c>
      <c r="S48" s="10">
        <v>1215.6782123551138</v>
      </c>
      <c r="T48" s="9">
        <v>0.19905120323212083</v>
      </c>
      <c r="U48" s="10">
        <v>198.25499841919236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8.3378785961433666E-2</v>
      </c>
      <c r="AG48" s="10">
        <v>4588.2512126717329</v>
      </c>
      <c r="AH48" s="9"/>
      <c r="AI48" s="10"/>
      <c r="AJ48" s="9"/>
      <c r="AK48" s="10"/>
      <c r="AL48" s="9"/>
      <c r="AM48" s="10"/>
      <c r="AN48" s="9">
        <v>0.34040010071716037</v>
      </c>
      <c r="AO48" s="10">
        <v>3056.4525043393828</v>
      </c>
      <c r="AP48" s="9">
        <v>7.1041163987356243E-2</v>
      </c>
      <c r="AQ48" s="10">
        <v>485.14010886965582</v>
      </c>
      <c r="AR48" s="9"/>
      <c r="AS48" s="10"/>
      <c r="AT48" s="9"/>
      <c r="AU48" s="10"/>
      <c r="AV48" s="9">
        <v>0.23799049130535049</v>
      </c>
      <c r="AW48" s="10">
        <v>2941.0864915515212</v>
      </c>
      <c r="AX48" s="9">
        <v>8.4202986062400079E-2</v>
      </c>
      <c r="AY48" s="10">
        <v>296.81552586996025</v>
      </c>
      <c r="AZ48" s="9">
        <v>0.13569926093883905</v>
      </c>
      <c r="BA48" s="10">
        <v>751.23110855741299</v>
      </c>
      <c r="BB48" s="9"/>
      <c r="BC48" s="10"/>
      <c r="BD48" s="9"/>
      <c r="BE48" s="10"/>
      <c r="BF48" s="9"/>
      <c r="BG48" s="10"/>
      <c r="BH48" s="9">
        <v>2.4955423297608557E-2</v>
      </c>
      <c r="BI48" s="10">
        <v>285.29039913826102</v>
      </c>
      <c r="BJ48" s="9">
        <v>6.3304583899314662E-2</v>
      </c>
      <c r="BK48" s="10">
        <v>22760.97322724689</v>
      </c>
    </row>
    <row r="49" spans="1:65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4.587626046621552E-2</v>
      </c>
      <c r="M49" s="10">
        <v>1916.7101622784844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5.3309029480943645E-3</v>
      </c>
      <c r="BK49" s="10">
        <v>1916.7101622784844</v>
      </c>
    </row>
    <row r="50" spans="1:65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2.0560165895572344E-2</v>
      </c>
      <c r="AG50" s="8">
        <v>1124.846676146763</v>
      </c>
      <c r="AH50" s="7"/>
      <c r="AI50" s="8"/>
      <c r="AJ50" s="7"/>
      <c r="AK50" s="8"/>
      <c r="AL50" s="7"/>
      <c r="AM50" s="8"/>
      <c r="AN50" s="7"/>
      <c r="AO50" s="8"/>
      <c r="AP50" s="7">
        <v>3.5988976653477972E-2</v>
      </c>
      <c r="AQ50" s="8">
        <v>245.76872156660107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3.8120618381278781E-3</v>
      </c>
      <c r="BK50" s="8">
        <v>1370.6153977133642</v>
      </c>
    </row>
    <row r="51" spans="1:65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7.5922181276790969E-3</v>
      </c>
      <c r="AG51" s="10">
        <v>415.37025376532341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2.2454055304854397E-3</v>
      </c>
      <c r="BK51" s="8">
        <v>807.32882226944844</v>
      </c>
    </row>
    <row r="52" spans="1:65" x14ac:dyDescent="0.35">
      <c r="A52" s="6" t="s">
        <v>12</v>
      </c>
      <c r="B52" s="9">
        <v>1.2800000000000001E-2</v>
      </c>
      <c r="C52" s="10">
        <v>65.779200000000003</v>
      </c>
      <c r="D52" s="9">
        <v>0.8</v>
      </c>
      <c r="E52" s="10">
        <v>186.4</v>
      </c>
      <c r="F52" s="9">
        <v>0.7018973577235772</v>
      </c>
      <c r="G52" s="10">
        <v>2072.0009999999997</v>
      </c>
      <c r="H52" s="9"/>
      <c r="I52" s="10"/>
      <c r="J52" s="9">
        <v>0.41110846054725858</v>
      </c>
      <c r="K52" s="10">
        <v>2769.2265902463337</v>
      </c>
      <c r="L52" s="9"/>
      <c r="M52" s="10"/>
      <c r="N52" s="9">
        <v>0.91262373567093746</v>
      </c>
      <c r="O52" s="10">
        <v>1353.4210000000003</v>
      </c>
      <c r="P52" s="9">
        <v>9.507602174633531E-2</v>
      </c>
      <c r="Q52" s="10">
        <v>544.12007245427696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156</v>
      </c>
      <c r="AF52" s="9"/>
      <c r="AG52" s="10"/>
      <c r="AH52" s="9">
        <v>0.68799999999999994</v>
      </c>
      <c r="AI52" s="10">
        <v>921.23199999999997</v>
      </c>
      <c r="AJ52" s="9">
        <v>0.75</v>
      </c>
      <c r="AK52" s="10">
        <v>174</v>
      </c>
      <c r="AL52" s="9">
        <v>0.997</v>
      </c>
      <c r="AM52" s="10">
        <v>3116.6219999999998</v>
      </c>
      <c r="AN52" s="9"/>
      <c r="AO52" s="10"/>
      <c r="AP52" s="9"/>
      <c r="AQ52" s="10"/>
      <c r="AR52" s="9">
        <v>0.63300000000000001</v>
      </c>
      <c r="AS52" s="10">
        <v>403.85399999999998</v>
      </c>
      <c r="AT52" s="9"/>
      <c r="AU52" s="10"/>
      <c r="AV52" s="9"/>
      <c r="AW52" s="10"/>
      <c r="AX52" s="9"/>
      <c r="AY52" s="10"/>
      <c r="AZ52" s="9"/>
      <c r="BA52" s="10"/>
      <c r="BB52" s="9">
        <v>0.40421800947867303</v>
      </c>
      <c r="BC52" s="10">
        <v>852.90000000000009</v>
      </c>
      <c r="BD52" s="9">
        <v>3.455484855093742E-2</v>
      </c>
      <c r="BE52" s="10">
        <v>470.04960483840171</v>
      </c>
      <c r="BF52" s="9"/>
      <c r="BG52" s="10"/>
      <c r="BH52" s="9"/>
      <c r="BI52" s="10"/>
      <c r="BJ52" s="9">
        <v>3.6395370762275656E-2</v>
      </c>
      <c r="BK52" s="10">
        <v>13085.846371463926</v>
      </c>
    </row>
    <row r="53" spans="1:65" x14ac:dyDescent="0.35">
      <c r="A53" s="6" t="s">
        <v>13</v>
      </c>
      <c r="B53" s="7">
        <v>1.445960889075841E-3</v>
      </c>
      <c r="C53" s="8">
        <v>7.4307930089607472</v>
      </c>
      <c r="D53" s="7"/>
      <c r="E53" s="8"/>
      <c r="F53" s="7"/>
      <c r="G53" s="8"/>
      <c r="H53" s="7">
        <v>4.4011677713770118E-3</v>
      </c>
      <c r="I53" s="8">
        <v>39.786556653248184</v>
      </c>
      <c r="J53" s="7">
        <v>6.041964034310377E-3</v>
      </c>
      <c r="K53" s="8">
        <v>40.698669735114699</v>
      </c>
      <c r="L53" s="7">
        <v>1.5357006110218134E-2</v>
      </c>
      <c r="M53" s="8">
        <v>641.61571528491368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4.8298072399116022E-2</v>
      </c>
      <c r="Y53" s="8">
        <v>2237.3599058166506</v>
      </c>
      <c r="Z53" s="7"/>
      <c r="AA53" s="8"/>
      <c r="AB53" s="7"/>
      <c r="AC53" s="8"/>
      <c r="AD53" s="7"/>
      <c r="AE53" s="8"/>
      <c r="AF53" s="7">
        <v>1.4657738722864666E-2</v>
      </c>
      <c r="AG53" s="8">
        <v>807.36290659410861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2.0142305784852869E-2</v>
      </c>
      <c r="AU53" s="8">
        <v>204.48468832782632</v>
      </c>
      <c r="AV53" s="7"/>
      <c r="AW53" s="8"/>
      <c r="AX53" s="7">
        <v>7.5344685544070514E-3</v>
      </c>
      <c r="AY53" s="8">
        <v>31.27557896934367</v>
      </c>
      <c r="AZ53" s="7"/>
      <c r="BA53" s="8"/>
      <c r="BB53" s="7"/>
      <c r="BC53" s="8"/>
      <c r="BD53" s="7"/>
      <c r="BE53" s="8"/>
      <c r="BF53" s="7">
        <v>9.0435375600129E-2</v>
      </c>
      <c r="BG53" s="8">
        <v>894.67717081207616</v>
      </c>
      <c r="BH53" s="7">
        <v>4.9787447654957339E-4</v>
      </c>
      <c r="BI53" s="8">
        <v>5.691701015914723</v>
      </c>
      <c r="BJ53" s="7">
        <v>1.9340919530201558E-2</v>
      </c>
      <c r="BK53" s="8">
        <v>6953.9695943253801</v>
      </c>
    </row>
    <row r="54" spans="1:65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0.86450402597363374</v>
      </c>
      <c r="AC54" s="8">
        <v>13603.8353527211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3.7836041888045513E-2</v>
      </c>
      <c r="BK54" s="8">
        <v>13603.8353527211</v>
      </c>
    </row>
    <row r="55" spans="1:65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1.165</v>
      </c>
      <c r="F55" s="11"/>
      <c r="G55" s="17"/>
      <c r="H55" s="11">
        <v>2.5999999999999999E-2</v>
      </c>
      <c r="I55" s="17">
        <f>H55*H42</f>
        <v>235.04</v>
      </c>
      <c r="J55" s="11">
        <v>0.02</v>
      </c>
      <c r="K55" s="17">
        <f>J55*J42</f>
        <v>134.72</v>
      </c>
      <c r="L55" s="11"/>
      <c r="M55" s="12"/>
      <c r="N55" s="11"/>
      <c r="O55" s="12"/>
      <c r="P55" s="11">
        <v>2E-3</v>
      </c>
      <c r="Q55" s="17">
        <f>P55*P42</f>
        <v>11.446</v>
      </c>
      <c r="R55" s="11"/>
      <c r="S55" s="17"/>
      <c r="T55" s="11"/>
      <c r="U55" s="12"/>
      <c r="V55" s="11">
        <v>2.7E-2</v>
      </c>
      <c r="W55" s="17">
        <f>V55*V42</f>
        <v>65.313000000000002</v>
      </c>
      <c r="X55" s="11">
        <v>0.13200000000000001</v>
      </c>
      <c r="Y55" s="17">
        <f>X55*X42</f>
        <v>6114.768</v>
      </c>
      <c r="Z55" s="11">
        <v>0.94399999999999995</v>
      </c>
      <c r="AA55" s="17">
        <f>Z55*Z42</f>
        <v>2564.848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2">
        <f>AL55*AL42</f>
        <v>21.882000000000001</v>
      </c>
      <c r="AN55" s="11"/>
      <c r="AO55" s="12"/>
      <c r="AP55" s="11">
        <v>5.0000000000000001E-3</v>
      </c>
      <c r="AQ55" s="12">
        <f>AP55*AP42</f>
        <v>34.145000000000003</v>
      </c>
      <c r="AR55" s="11"/>
      <c r="AS55" s="12"/>
      <c r="AT55" s="11">
        <v>5.7000000000000002E-2</v>
      </c>
      <c r="AU55" s="17">
        <f>AT55*AT42</f>
        <v>578.66399999999999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69.251000000000005</v>
      </c>
      <c r="BH55" s="11"/>
      <c r="BI55" s="12"/>
      <c r="BJ55" s="11">
        <v>3.7709115379349178E-2</v>
      </c>
      <c r="BK55" s="12">
        <v>13558.199307298859</v>
      </c>
      <c r="BM55"/>
    </row>
    <row r="56" spans="1:65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7.8001106398672332E-2</v>
      </c>
      <c r="Y56" s="8">
        <v>3591.4162988953344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1.0012786496419776E-2</v>
      </c>
      <c r="BK56" s="8">
        <v>3591.4162988953344</v>
      </c>
    </row>
    <row r="57" spans="1:65" x14ac:dyDescent="0.3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4.6877695857899235E-2</v>
      </c>
      <c r="AG57" s="8">
        <v>2582.0703655489478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7.1814543454651212E-3</v>
      </c>
      <c r="BK57" s="8">
        <v>2582.0703655489478</v>
      </c>
    </row>
    <row r="58" spans="1:65" ht="58" x14ac:dyDescent="0.3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0.29857301366299072</v>
      </c>
      <c r="BK58" s="8">
        <v>107351.03134348732</v>
      </c>
    </row>
    <row r="59" spans="1:65" ht="43.5" x14ac:dyDescent="0.3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0.14138903950546899</v>
      </c>
      <c r="BK59" s="8">
        <v>50836.004987072862</v>
      </c>
    </row>
    <row r="60" spans="1:65" x14ac:dyDescent="0.35">
      <c r="A60" s="6" t="s">
        <v>204</v>
      </c>
      <c r="B60" s="13">
        <v>0.46293959533813178</v>
      </c>
      <c r="C60" s="14">
        <v>2307.7538827605867</v>
      </c>
      <c r="D60" s="13">
        <v>0.85020107304369263</v>
      </c>
      <c r="E60" s="14">
        <v>198.09685001918038</v>
      </c>
      <c r="F60" s="13">
        <v>0.88388663932304434</v>
      </c>
      <c r="G60" s="14">
        <v>2609.2333592816267</v>
      </c>
      <c r="H60" s="13">
        <v>0.58575142825040705</v>
      </c>
      <c r="I60" s="14">
        <v>5295.1929113836795</v>
      </c>
      <c r="J60" s="13">
        <v>0.54169336762320874</v>
      </c>
      <c r="K60" s="14">
        <v>3648.846524309934</v>
      </c>
      <c r="L60" s="13">
        <v>0.54310995612344981</v>
      </c>
      <c r="M60" s="14">
        <v>22691.133966837733</v>
      </c>
      <c r="N60" s="13">
        <v>0.91262373567093746</v>
      </c>
      <c r="O60" s="14">
        <v>1353.4210000000003</v>
      </c>
      <c r="P60" s="13">
        <v>0.4854342567744182</v>
      </c>
      <c r="Q60" s="14">
        <v>2778.1402515199952</v>
      </c>
      <c r="R60" s="13">
        <v>0.3147996434857645</v>
      </c>
      <c r="S60" s="14">
        <v>3120.2940662308979</v>
      </c>
      <c r="T60" s="13">
        <v>0.19905120323212078</v>
      </c>
      <c r="U60" s="14">
        <v>198.2549984191923</v>
      </c>
      <c r="V60" s="13">
        <v>0.72511383058917533</v>
      </c>
      <c r="W60" s="14">
        <v>1754.050356195215</v>
      </c>
      <c r="X60" s="13">
        <v>0.78861327989423013</v>
      </c>
      <c r="Y60" s="14">
        <v>36531.721577820317</v>
      </c>
      <c r="Z60" s="13">
        <v>0.94399999999999995</v>
      </c>
      <c r="AA60" s="14">
        <v>2564.848</v>
      </c>
      <c r="AB60" s="13">
        <v>0.86450402597363374</v>
      </c>
      <c r="AC60" s="14">
        <v>13603.8353527211</v>
      </c>
      <c r="AD60" s="13">
        <v>1</v>
      </c>
      <c r="AE60" s="14">
        <v>156</v>
      </c>
      <c r="AF60" s="13">
        <v>0.23018923885508558</v>
      </c>
      <c r="AG60" s="14">
        <v>12679.053465376968</v>
      </c>
      <c r="AH60" s="13">
        <v>0.68799999999999994</v>
      </c>
      <c r="AI60" s="14">
        <v>921.23199999999997</v>
      </c>
      <c r="AJ60" s="13">
        <v>0.75</v>
      </c>
      <c r="AK60" s="14">
        <v>174</v>
      </c>
      <c r="AL60" s="13">
        <v>0.99763493158231642</v>
      </c>
      <c r="AM60" s="14">
        <v>3118.6067961263211</v>
      </c>
      <c r="AN60" s="13">
        <v>0.34040010071716043</v>
      </c>
      <c r="AO60" s="14">
        <v>3056.4525043393833</v>
      </c>
      <c r="AP60" s="13">
        <v>0.11221111373686787</v>
      </c>
      <c r="AQ60" s="14">
        <v>766.28969570907066</v>
      </c>
      <c r="AR60" s="13">
        <v>0.63300000000000001</v>
      </c>
      <c r="AS60" s="14">
        <v>403.85399999999998</v>
      </c>
      <c r="AT60" s="13">
        <v>0.48901558418049851</v>
      </c>
      <c r="AU60" s="14">
        <v>4964.4862106004211</v>
      </c>
      <c r="AV60" s="13">
        <v>0.33520524535608742</v>
      </c>
      <c r="AW60" s="14">
        <v>4142.4664221105286</v>
      </c>
      <c r="AX60" s="13">
        <v>9.1103029866132834E-2</v>
      </c>
      <c r="AY60" s="14">
        <v>321.13818027811823</v>
      </c>
      <c r="AZ60" s="13">
        <v>0.13569926093883899</v>
      </c>
      <c r="BA60" s="14">
        <v>751.23110855741265</v>
      </c>
      <c r="BB60" s="13">
        <v>0.40421800947867303</v>
      </c>
      <c r="BC60" s="14">
        <v>852.90000000000009</v>
      </c>
      <c r="BD60" s="13">
        <v>3.4554848550937378E-2</v>
      </c>
      <c r="BE60" s="14">
        <v>472.0192312058046</v>
      </c>
      <c r="BF60" s="13">
        <v>0.12079575603646076</v>
      </c>
      <c r="BG60" s="14">
        <v>1195.0324144687063</v>
      </c>
      <c r="BH60" s="13">
        <v>2.5440873105846751E-2</v>
      </c>
      <c r="BI60" s="14">
        <v>290.84006134604005</v>
      </c>
      <c r="BJ60" s="13">
        <v>0.37688205845114586</v>
      </c>
      <c r="BK60" s="14">
        <v>135506.81346993413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3"/>
  <sheetViews>
    <sheetView showGridLines="0" zoomScaleNormal="100" workbookViewId="0"/>
  </sheetViews>
  <sheetFormatPr defaultColWidth="9.1796875" defaultRowHeight="14.5" x14ac:dyDescent="0.35"/>
  <cols>
    <col min="1" max="1" width="22.54296875" style="33" bestFit="1" customWidth="1"/>
    <col min="2" max="2" width="53" style="33" customWidth="1"/>
    <col min="3" max="3" width="11.26953125" style="33" customWidth="1"/>
    <col min="4" max="6" width="9.1796875" style="33" hidden="1" customWidth="1"/>
    <col min="7" max="7" width="24.1796875" style="34" hidden="1" customWidth="1"/>
    <col min="8" max="8" width="5.54296875" style="34" hidden="1" customWidth="1"/>
    <col min="9" max="9" width="10.7265625" style="34" hidden="1" customWidth="1"/>
    <col min="10" max="10" width="9.1796875" style="34" hidden="1" customWidth="1"/>
    <col min="11" max="11" width="16" style="34" hidden="1" customWidth="1"/>
    <col min="12" max="12" width="8.453125" style="34" hidden="1" customWidth="1"/>
    <col min="13" max="13" width="46.7265625" style="34" hidden="1" customWidth="1"/>
    <col min="14" max="14" width="27.1796875" style="34" hidden="1" customWidth="1"/>
    <col min="15" max="15" width="22.54296875" style="34" hidden="1" customWidth="1"/>
    <col min="16" max="16" width="9.1796875" style="34" hidden="1" customWidth="1"/>
    <col min="17" max="17" width="16" style="34" hidden="1" customWidth="1"/>
    <col min="18" max="18" width="9.1796875" style="34" hidden="1" customWidth="1"/>
    <col min="19" max="19" width="44.453125" style="34" hidden="1" customWidth="1"/>
    <col min="20" max="20" width="36" style="34" hidden="1" customWidth="1"/>
    <col min="21" max="21" width="33.26953125" style="34" hidden="1" customWidth="1"/>
    <col min="22" max="22" width="9.1796875" style="34" hidden="1" customWidth="1"/>
    <col min="23" max="23" width="24.1796875" style="34" hidden="1" customWidth="1"/>
    <col min="24" max="24" width="103" style="34" hidden="1" customWidth="1"/>
    <col min="25" max="25" width="9.1796875" style="33" customWidth="1"/>
    <col min="26" max="16384" width="9.1796875" style="33"/>
  </cols>
  <sheetData>
    <row r="1" spans="1:29" ht="23.5" x14ac:dyDescent="0.55000000000000004">
      <c r="A1" s="38" t="s">
        <v>155</v>
      </c>
      <c r="G1" s="61" t="s">
        <v>131</v>
      </c>
      <c r="H1" s="62"/>
      <c r="I1" s="63"/>
      <c r="K1" s="61" t="s">
        <v>86</v>
      </c>
      <c r="L1" s="62"/>
      <c r="M1" s="62"/>
      <c r="N1" s="62"/>
      <c r="O1" s="63"/>
      <c r="Q1" s="61" t="s">
        <v>90</v>
      </c>
      <c r="R1" s="62"/>
      <c r="S1" s="62"/>
      <c r="T1" s="62"/>
      <c r="U1" s="63"/>
      <c r="W1" s="64" t="s">
        <v>134</v>
      </c>
      <c r="X1" s="64"/>
    </row>
    <row r="2" spans="1:29" x14ac:dyDescent="0.35">
      <c r="A2" s="39" t="s">
        <v>154</v>
      </c>
      <c r="G2" s="35"/>
      <c r="H2" s="36" t="s">
        <v>132</v>
      </c>
      <c r="I2" s="36" t="s">
        <v>133</v>
      </c>
      <c r="K2" s="36" t="s">
        <v>70</v>
      </c>
      <c r="L2" s="36" t="s">
        <v>71</v>
      </c>
      <c r="M2" s="36" t="s">
        <v>72</v>
      </c>
      <c r="N2" s="36" t="s">
        <v>73</v>
      </c>
      <c r="O2" s="36" t="s">
        <v>87</v>
      </c>
      <c r="Q2" s="36" t="s">
        <v>70</v>
      </c>
      <c r="R2" s="36" t="s">
        <v>71</v>
      </c>
      <c r="S2" s="36" t="s">
        <v>72</v>
      </c>
      <c r="T2" s="36" t="s">
        <v>123</v>
      </c>
      <c r="U2" s="36" t="s">
        <v>124</v>
      </c>
      <c r="W2" s="35"/>
      <c r="X2" s="35"/>
    </row>
    <row r="3" spans="1:29" x14ac:dyDescent="0.35">
      <c r="G3" s="35" t="s">
        <v>135</v>
      </c>
      <c r="H3" s="41">
        <f>INDEX('UK (2)'!A1:BK18,MATCH(Percentages!B7,'UK (2)'!A1:A18,0),MATCH(Percentages!B6,'UK (2)'!A1:BK1,0))</f>
        <v>0.60739066196533265</v>
      </c>
      <c r="I3" s="37">
        <f>IF(H3=0,"no statement",(ROUND(H3*100,0)))</f>
        <v>61</v>
      </c>
      <c r="K3" s="35" t="s">
        <v>74</v>
      </c>
      <c r="L3" s="35" t="s">
        <v>94</v>
      </c>
      <c r="M3" s="35" t="s">
        <v>53</v>
      </c>
      <c r="N3" s="34" t="s">
        <v>204</v>
      </c>
      <c r="O3" s="35" t="s">
        <v>88</v>
      </c>
      <c r="Q3" s="35" t="s">
        <v>74</v>
      </c>
      <c r="R3" s="35" t="s">
        <v>95</v>
      </c>
      <c r="S3" s="35" t="s">
        <v>69</v>
      </c>
      <c r="T3" s="35" t="s">
        <v>204</v>
      </c>
      <c r="U3" s="35" t="s">
        <v>205</v>
      </c>
      <c r="W3" s="35" t="s">
        <v>135</v>
      </c>
      <c r="X3" s="35" t="str">
        <f>IF(B$7&lt;&gt;"All risk factors combined",(CONCATENATE(((IF($B$8="causes",(VLOOKUP($B$7,$N$2:$U$17,7,FALSE)),(VLOOKUP($B$7,$N$2:$U$17,8,FALSE)))))," ",$B$8," ",$I3,"% of ",(VLOOKUP($B$6,$M$2:$S$33,7,FALSE))," cases in males in the UK")),(CONCATENATE(I3,"% of ",(VLOOKUP($B$6,$M$2:$S$33,7,FALSE))," cases in males in the UK could be prevented")))</f>
        <v>61% of oesophageal cancer cases in males in the UK could be prevented</v>
      </c>
    </row>
    <row r="4" spans="1:29" x14ac:dyDescent="0.35">
      <c r="A4" s="50" t="s">
        <v>80</v>
      </c>
      <c r="B4" s="51" t="s">
        <v>26</v>
      </c>
      <c r="C4" s="39"/>
      <c r="G4" s="35" t="s">
        <v>140</v>
      </c>
      <c r="H4" s="41">
        <f>INDEX('UK (2)'!A19:BK39,MATCH(Percentages!B7,'UK (2)'!A19:A39,0),MATCH(Percentages!B6,'UK (2)'!A19:BK19,0))</f>
        <v>0.54399198205440991</v>
      </c>
      <c r="I4" s="37">
        <f t="shared" ref="I4:I17" si="0">IF(H4=0,"no statement",(ROUND(H4*100,0)))</f>
        <v>54</v>
      </c>
      <c r="K4" s="35" t="s">
        <v>75</v>
      </c>
      <c r="L4" s="35" t="s">
        <v>78</v>
      </c>
      <c r="M4" s="35" t="s">
        <v>27</v>
      </c>
      <c r="N4" s="35" t="s">
        <v>9</v>
      </c>
      <c r="O4" s="35" t="s">
        <v>89</v>
      </c>
      <c r="Q4" s="35" t="s">
        <v>75</v>
      </c>
      <c r="R4" s="35" t="s">
        <v>92</v>
      </c>
      <c r="S4" s="35" t="s">
        <v>100</v>
      </c>
      <c r="T4" s="35" t="s">
        <v>208</v>
      </c>
      <c r="U4" s="35" t="s">
        <v>209</v>
      </c>
      <c r="W4" s="35" t="s">
        <v>140</v>
      </c>
      <c r="X4" s="35" t="str">
        <f>IF(B$7&lt;&gt;"All risk factors combined",(CONCATENATE(((IF($B$8="causes",(VLOOKUP($B$7,$N$2:$U$17,7,FALSE)),(VLOOKUP($B$7,$N$2:$U$17,8,FALSE)))))," ",$B$8," ",$I4,"% of ",(VLOOKUP($B$6,$M$2:$S$33,7,FALSE))," cases in females in the UK")),(CONCATENATE(I4,"% of ",(VLOOKUP($B$6,$M$2:$S$33,7,FALSE))," cases in females in the UK could be prevented")))</f>
        <v>54% of oesophageal cancer cases in females in the UK could be prevented</v>
      </c>
    </row>
    <row r="5" spans="1:29" x14ac:dyDescent="0.35">
      <c r="A5" s="52" t="s">
        <v>81</v>
      </c>
      <c r="B5" s="53" t="s">
        <v>79</v>
      </c>
      <c r="C5" s="39"/>
      <c r="G5" s="35" t="s">
        <v>145</v>
      </c>
      <c r="H5" s="41">
        <f>INDEX('UK (2)'!A40:BK60,MATCH(Percentages!B7,'UK (2)'!A40:A60,0),MATCH(Percentages!B6,'UK (2)'!A40:BK40,0))</f>
        <v>0.58575142825040705</v>
      </c>
      <c r="I5" s="37">
        <f t="shared" si="0"/>
        <v>59</v>
      </c>
      <c r="K5" s="35" t="s">
        <v>76</v>
      </c>
      <c r="L5" s="35" t="s">
        <v>79</v>
      </c>
      <c r="M5" s="35" t="s">
        <v>39</v>
      </c>
      <c r="N5" s="35" t="s">
        <v>11</v>
      </c>
      <c r="O5" s="35"/>
      <c r="Q5" s="35" t="s">
        <v>76</v>
      </c>
      <c r="R5" s="35" t="s">
        <v>93</v>
      </c>
      <c r="S5" s="35" t="s">
        <v>115</v>
      </c>
      <c r="T5" s="35" t="s">
        <v>11</v>
      </c>
      <c r="U5" s="35" t="s">
        <v>127</v>
      </c>
      <c r="W5" s="35" t="s">
        <v>145</v>
      </c>
      <c r="X5" s="35" t="str">
        <f>IF(B$7&lt;&gt;"All risk factors combined",(CONCATENATE(((IF($B$8="causes",(VLOOKUP($B$7,$N$2:$U$17,7,FALSE)),(VLOOKUP($B$7,$N$2:$U$17,8,FALSE)))))," ",$B$8," ",$I5,"% of ",(VLOOKUP($B$6,$M$2:$S$33,7,FALSE))," cases in the UK")),(CONCATENATE(I5,"% of ",(VLOOKUP($B$6,$M$2:$S$33,7,FALSE))," cases in the UK could be prevented")))</f>
        <v>59% of oesophageal cancer cases in the UK could be prevented</v>
      </c>
      <c r="Y5"/>
      <c r="Z5"/>
      <c r="AA5"/>
      <c r="AB5"/>
      <c r="AC5"/>
    </row>
    <row r="6" spans="1:29" x14ac:dyDescent="0.35">
      <c r="A6" s="54" t="s">
        <v>82</v>
      </c>
      <c r="B6" s="55" t="s">
        <v>44</v>
      </c>
      <c r="C6" s="39"/>
      <c r="G6" s="35" t="s">
        <v>136</v>
      </c>
      <c r="H6" s="41">
        <f>INDEX('England (2)'!A1:BK18,MATCH(Percentages!B7,'England (2)'!A1:A18,0),MATCH(Percentages!B6,'England (2)'!A1:BK1,0))</f>
        <v>0.60914857541017675</v>
      </c>
      <c r="I6" s="37">
        <f t="shared" si="0"/>
        <v>61</v>
      </c>
      <c r="K6" s="35" t="s">
        <v>77</v>
      </c>
      <c r="L6" s="35"/>
      <c r="M6" s="35" t="s">
        <v>22</v>
      </c>
      <c r="N6" s="35" t="s">
        <v>14</v>
      </c>
      <c r="O6" s="35"/>
      <c r="Q6" s="35" t="s">
        <v>77</v>
      </c>
      <c r="R6" s="35"/>
      <c r="S6" s="35" t="s">
        <v>99</v>
      </c>
      <c r="T6" s="35" t="s">
        <v>196</v>
      </c>
      <c r="U6" s="35" t="s">
        <v>195</v>
      </c>
      <c r="W6" s="35" t="s">
        <v>136</v>
      </c>
      <c r="X6" s="35" t="str">
        <f>IF(B$7&lt;&gt;"All risk factors combined",(CONCATENATE(((IF($B$8="causes",(VLOOKUP($B$7,$N$2:$U$17,7,FALSE)),(VLOOKUP($B$7,$N$2:$U$17,8,FALSE)))))," ",$B$8," ",$I6,"% of ",(VLOOKUP($B$6,$M$2:$S$33,7,FALSE))," cases in males in England")),(CONCATENATE(I6,"% of ",(VLOOKUP($B$6,$M$2:$S$33,7,FALSE))," cases in males in England could be prevented")))</f>
        <v>61% of oesophageal cancer cases in males in England could be prevented</v>
      </c>
      <c r="Y6"/>
      <c r="Z6"/>
      <c r="AA6"/>
      <c r="AB6"/>
      <c r="AC6"/>
    </row>
    <row r="7" spans="1:29" x14ac:dyDescent="0.35">
      <c r="A7" s="52" t="s">
        <v>83</v>
      </c>
      <c r="B7" s="53" t="s">
        <v>204</v>
      </c>
      <c r="C7" s="56"/>
      <c r="G7" s="35" t="s">
        <v>141</v>
      </c>
      <c r="H7" s="41">
        <f>INDEX('England (2)'!A19:BK39,MATCH(Percentages!B7,'England (2)'!A19:A39,0),MATCH(Percentages!B6,'England (2)'!A19:BK19,0))</f>
        <v>0.54424819526339818</v>
      </c>
      <c r="I7" s="37">
        <f t="shared" si="0"/>
        <v>54</v>
      </c>
      <c r="K7" s="35" t="s">
        <v>26</v>
      </c>
      <c r="L7" s="35"/>
      <c r="M7" s="35" t="s">
        <v>52</v>
      </c>
      <c r="N7" s="35" t="s">
        <v>15</v>
      </c>
      <c r="O7" s="35"/>
      <c r="Q7" s="35" t="s">
        <v>91</v>
      </c>
      <c r="R7" s="35"/>
      <c r="S7" s="35" t="s">
        <v>122</v>
      </c>
      <c r="T7" s="35" t="s">
        <v>129</v>
      </c>
      <c r="U7" s="35" t="s">
        <v>128</v>
      </c>
      <c r="W7" s="35" t="s">
        <v>141</v>
      </c>
      <c r="X7" s="35" t="str">
        <f>IF(B$7&lt;&gt;"All risk factors combined",(CONCATENATE(((IF($B$8="causes",(VLOOKUP($B$7,$N$2:$U$17,7,FALSE)),(VLOOKUP($B$7,$N$2:$U$17,8,FALSE)))))," ",$B$8," ",$I7,"% of ",(VLOOKUP($B$6,$M$2:$S$33,7,FALSE))," cases in females in England")),(CONCATENATE(I7,"% of ",(VLOOKUP($B$6,$M$2:$S$33,7,FALSE))," cases in females in England could be prevented")))</f>
        <v>54% of oesophageal cancer cases in females in England could be prevented</v>
      </c>
    </row>
    <row r="8" spans="1:29" x14ac:dyDescent="0.35">
      <c r="A8" s="57" t="s">
        <v>87</v>
      </c>
      <c r="B8" s="58" t="s">
        <v>88</v>
      </c>
      <c r="C8" s="56" t="s">
        <v>206</v>
      </c>
      <c r="G8" s="35" t="s">
        <v>146</v>
      </c>
      <c r="H8" s="41">
        <f>INDEX('England (2)'!A40:BK60,MATCH(Percentages!B7,'England (2)'!A40:A60,0),MATCH(Percentages!B6,'England (2)'!A40:BK40,0))</f>
        <v>0.58731732843875628</v>
      </c>
      <c r="I8" s="37">
        <f t="shared" si="0"/>
        <v>59</v>
      </c>
      <c r="K8" s="35"/>
      <c r="L8" s="35"/>
      <c r="M8" s="35" t="s">
        <v>32</v>
      </c>
      <c r="N8" s="35" t="s">
        <v>12</v>
      </c>
      <c r="O8" s="35"/>
      <c r="Q8" s="35"/>
      <c r="R8" s="35"/>
      <c r="S8" s="35" t="s">
        <v>109</v>
      </c>
      <c r="T8" s="35" t="s">
        <v>156</v>
      </c>
      <c r="U8" s="35" t="s">
        <v>197</v>
      </c>
      <c r="W8" s="35" t="s">
        <v>146</v>
      </c>
      <c r="X8" s="35" t="str">
        <f>IF(B$7&lt;&gt;"All risk factors combined",(CONCATENATE(((IF($B$8="causes",(VLOOKUP($B$7,$N$2:$U$17,7,FALSE)),(VLOOKUP($B$7,$N$2:$U$17,8,FALSE)))))," ",$B$8," ",$I8,"% of ",(VLOOKUP($B$6,$M$2:$S$33,7,FALSE))," cases in England")),(CONCATENATE(I8,"% of ",(VLOOKUP($B$6,$M$2:$S$33,7,FALSE))," cases in England could be prevented")))</f>
        <v>59% of oesophageal cancer cases in England could be prevented</v>
      </c>
    </row>
    <row r="9" spans="1:29" x14ac:dyDescent="0.35">
      <c r="A9" s="39"/>
      <c r="B9" s="39"/>
      <c r="C9" s="39"/>
      <c r="G9" s="35" t="s">
        <v>137</v>
      </c>
      <c r="H9" s="41">
        <f>INDEX('Scotland (2)'!A1:BK18,MATCH(Percentages!B7,'Scotland (2)'!A1:A18,0),MATCH(Percentages!B6,'Scotland (2)'!A1:BK1,0))</f>
        <v>0.6104501854570501</v>
      </c>
      <c r="I9" s="37">
        <f t="shared" si="0"/>
        <v>61</v>
      </c>
      <c r="K9" s="35"/>
      <c r="L9" s="35"/>
      <c r="M9" s="35" t="s">
        <v>35</v>
      </c>
      <c r="N9" s="35" t="s">
        <v>10</v>
      </c>
      <c r="O9" s="35"/>
      <c r="Q9" s="35"/>
      <c r="R9" s="35"/>
      <c r="S9" s="35" t="s">
        <v>112</v>
      </c>
      <c r="T9" s="35" t="s">
        <v>211</v>
      </c>
      <c r="U9" s="35" t="s">
        <v>150</v>
      </c>
      <c r="W9" s="35" t="s">
        <v>137</v>
      </c>
      <c r="X9" s="35" t="str">
        <f>IF(B$7&lt;&gt;"All risk factors combined",(CONCATENATE(((IF($B$8="causes",(VLOOKUP($B$7,$N$2:$U$17,7,FALSE)),(VLOOKUP($B$7,$N$2:$U$17,8,FALSE)))))," ",$B$8," ",$I9,"% of ",(VLOOKUP($B$6,$M$2:$S$33,7,FALSE))," cases in males in Scotland")),(CONCATENATE(I9,"% of ",(VLOOKUP($B$6,$M$2:$S$33,7,FALSE))," cases in males in Scotland could be prevented")))</f>
        <v>61% of oesophageal cancer cases in males in Scotland could be prevented</v>
      </c>
    </row>
    <row r="10" spans="1:29" x14ac:dyDescent="0.35">
      <c r="A10" s="59" t="s">
        <v>152</v>
      </c>
      <c r="B10" s="39"/>
      <c r="C10" s="39"/>
      <c r="G10" s="35" t="s">
        <v>142</v>
      </c>
      <c r="H10" s="41">
        <f>INDEX('Scotland (2)'!A19:BK39,MATCH(Percentages!B7,'Scotland (2)'!A19:A39,0),MATCH(Percentages!B6,'Scotland (2)'!A19:BK19,0))</f>
        <v>0.55166008933210364</v>
      </c>
      <c r="I10" s="37">
        <f t="shared" si="0"/>
        <v>55</v>
      </c>
      <c r="K10" s="35"/>
      <c r="L10" s="35"/>
      <c r="M10" s="35" t="s">
        <v>48</v>
      </c>
      <c r="N10" s="35" t="s">
        <v>56</v>
      </c>
      <c r="O10" s="35"/>
      <c r="Q10" s="35"/>
      <c r="R10" s="35"/>
      <c r="S10" s="35" t="s">
        <v>103</v>
      </c>
      <c r="T10" s="35" t="s">
        <v>125</v>
      </c>
      <c r="U10" s="35" t="s">
        <v>151</v>
      </c>
      <c r="W10" s="35" t="s">
        <v>142</v>
      </c>
      <c r="X10" s="35" t="str">
        <f>IF(B$7&lt;&gt;"All risk factors combined",(CONCATENATE(((IF($B$8="causes",(VLOOKUP($B$7,$N$2:$U$17,7,FALSE)),(VLOOKUP($B$7,$N$2:$U$17,8,FALSE)))))," ",$B$8," ",$I10,"% of ",(VLOOKUP($B$6,$M$2:$S$33,7,FALSE))," cases in females in Scotland")),(CONCATENATE(I10,"% of ",(VLOOKUP($B$6,$M$2:$S$33,7,FALSE))," cases in females in Scotland could be prevented")))</f>
        <v>55% of oesophageal cancer cases in females in Scotland could be prevented</v>
      </c>
    </row>
    <row r="11" spans="1:29" x14ac:dyDescent="0.35">
      <c r="A11" s="39" t="str">
        <f>IF(ISNUMBER(SEARCH("no statement",VLOOKUP((CONCATENATE(B4, " ", B5)), W3:X17, 2, FALSE))),"&lt;&lt; no statement &gt;&gt;",VLOOKUP((CONCATENATE(B4, " ", B5)), W3:X17, 2, FALSE))</f>
        <v>59% of oesophageal cancer cases in the UK could be prevented</v>
      </c>
      <c r="B11" s="39"/>
      <c r="C11" s="39"/>
      <c r="G11" s="35" t="s">
        <v>147</v>
      </c>
      <c r="H11" s="41">
        <f>INDEX('Scotland (2)'!A40:BK60,MATCH(Percentages!B7,'Scotland (2)'!A40:A60,0),MATCH(Percentages!B6,'Scotland (2)'!A40:BK40,0))</f>
        <v>0.58884788921475018</v>
      </c>
      <c r="I11" s="37">
        <f t="shared" si="0"/>
        <v>59</v>
      </c>
      <c r="K11" s="35"/>
      <c r="L11" s="35"/>
      <c r="M11" s="35" t="s">
        <v>3</v>
      </c>
      <c r="N11" s="35" t="s">
        <v>13</v>
      </c>
      <c r="O11" s="35"/>
      <c r="Q11" s="35"/>
      <c r="R11" s="35"/>
      <c r="S11" s="35" t="s">
        <v>119</v>
      </c>
      <c r="T11" s="40" t="s">
        <v>198</v>
      </c>
      <c r="U11" s="40" t="s">
        <v>199</v>
      </c>
      <c r="W11" s="35" t="s">
        <v>147</v>
      </c>
      <c r="X11" s="35" t="str">
        <f>IF(B$7&lt;&gt;"All risk factors combined",(CONCATENATE(((IF($B$8="causes",(VLOOKUP($B$7,$N$2:$U$17,7,FALSE)),(VLOOKUP($B$7,$N$2:$U$17,8,FALSE)))))," ",$B$8," ",$I11,"% of ",(VLOOKUP($B$6,$M$2:$S$33,7,FALSE))," cases in Scotland")),(CONCATENATE(I11,"% of ",(VLOOKUP($B$6,$M$2:$S$33,7,FALSE))," cases in Scotland could be prevented")))</f>
        <v>59% of oesophageal cancer cases in Scotland could be prevented</v>
      </c>
    </row>
    <row r="12" spans="1:29" x14ac:dyDescent="0.35">
      <c r="A12" s="39"/>
      <c r="B12" s="39"/>
      <c r="C12" s="39"/>
      <c r="G12" s="35" t="s">
        <v>138</v>
      </c>
      <c r="H12" s="41">
        <f>INDEX('Wales (2)'!A1:BK18,MATCH(Percentages!B7,'Wales (2)'!A1:A18,0),MATCH(Percentages!B6,'Wales (2)'!A1:BK1,0))</f>
        <v>0.5931682150717883</v>
      </c>
      <c r="I12" s="37">
        <f t="shared" si="0"/>
        <v>59</v>
      </c>
      <c r="K12" s="35"/>
      <c r="L12" s="35"/>
      <c r="M12" s="35" t="s">
        <v>2</v>
      </c>
      <c r="N12" s="35" t="s">
        <v>55</v>
      </c>
      <c r="O12" s="35"/>
      <c r="Q12" s="35"/>
      <c r="R12" s="35"/>
      <c r="S12" s="35" t="s">
        <v>108</v>
      </c>
      <c r="T12" s="35" t="s">
        <v>210</v>
      </c>
      <c r="U12" s="35" t="s">
        <v>126</v>
      </c>
      <c r="W12" s="35" t="s">
        <v>138</v>
      </c>
      <c r="X12" s="35" t="str">
        <f>IF(B$7&lt;&gt;"All risk factors combined",(CONCATENATE(((IF($B$8="causes",(VLOOKUP($B$7,$N$2:$U$17,7,FALSE)),(VLOOKUP($B$7,$N$2:$U$17,8,FALSE)))))," ",$B$8," ",$I12,"% of ",(VLOOKUP($B$6,$M$2:$S$33,7,FALSE))," cases in males in Wales")),(CONCATENATE(I12,"% of ",(VLOOKUP($B$6,$M$2:$S$33,7,FALSE))," cases in males in Wales could be prevented")))</f>
        <v>59% of oesophageal cancer cases in males in Wales could be prevented</v>
      </c>
    </row>
    <row r="13" spans="1:29" x14ac:dyDescent="0.35">
      <c r="A13" s="59" t="s">
        <v>153</v>
      </c>
      <c r="B13" s="39"/>
      <c r="C13" s="39"/>
      <c r="G13" s="35" t="s">
        <v>143</v>
      </c>
      <c r="H13" s="41">
        <f>INDEX('Wales (2)'!A19:BK39,MATCH(Percentages!B7,'Wales (2)'!A19:A39,0),MATCH(Percentages!B6,'Wales (2)'!A19:BK19,0))</f>
        <v>0.52310056958779394</v>
      </c>
      <c r="I13" s="37">
        <f t="shared" si="0"/>
        <v>52</v>
      </c>
      <c r="K13" s="35"/>
      <c r="L13" s="35"/>
      <c r="M13" s="35" t="s">
        <v>40</v>
      </c>
      <c r="N13" s="35" t="s">
        <v>16</v>
      </c>
      <c r="O13" s="35"/>
      <c r="Q13" s="35"/>
      <c r="R13" s="35"/>
      <c r="S13" s="35" t="s">
        <v>116</v>
      </c>
      <c r="T13" s="40" t="s">
        <v>200</v>
      </c>
      <c r="U13" s="40" t="s">
        <v>201</v>
      </c>
      <c r="W13" s="35" t="s">
        <v>143</v>
      </c>
      <c r="X13" s="35" t="str">
        <f>IF(B$7&lt;&gt;"All risk factors combined",(CONCATENATE(((IF($B$8="causes",(VLOOKUP($B$7,$N$2:$U$17,7,FALSE)),(VLOOKUP($B$7,$N$2:$U$17,8,FALSE)))))," ",$B$8," ",$I13,"% of ",(VLOOKUP($B$6,$M$2:$S$33,7,FALSE))," cases in females in Wales")),(CONCATENATE(I13,"% of ",(VLOOKUP($B$6,$M$2:$S$33,7,FALSE))," cases in females in Wales could be prevented")))</f>
        <v>52% of oesophageal cancer cases in females in Wales could be prevented</v>
      </c>
    </row>
    <row r="14" spans="1:29" x14ac:dyDescent="0.35">
      <c r="A14" s="39" t="s">
        <v>231</v>
      </c>
      <c r="B14" s="39"/>
      <c r="C14" s="39"/>
      <c r="G14" s="35" t="s">
        <v>148</v>
      </c>
      <c r="H14" s="41">
        <f>INDEX('Wales (2)'!A40:BK60,MATCH(Percentages!B7,'Wales (2)'!A40:A60,0),MATCH(Percentages!B6,'Wales (2)'!A40:BK40,0))</f>
        <v>0.56912725720501545</v>
      </c>
      <c r="I14" s="37">
        <f t="shared" si="0"/>
        <v>57</v>
      </c>
      <c r="K14" s="35"/>
      <c r="L14" s="35"/>
      <c r="M14" s="35" t="s">
        <v>29</v>
      </c>
      <c r="N14" s="35" t="s">
        <v>222</v>
      </c>
      <c r="O14" s="35"/>
      <c r="Q14" s="35"/>
      <c r="R14" s="35"/>
      <c r="S14" s="35" t="s">
        <v>104</v>
      </c>
      <c r="T14" s="40" t="s">
        <v>202</v>
      </c>
      <c r="U14" s="40" t="s">
        <v>203</v>
      </c>
      <c r="W14" s="35" t="s">
        <v>148</v>
      </c>
      <c r="X14" s="35" t="str">
        <f>IF(B$7&lt;&gt;"All risk factors combined",(CONCATENATE(((IF($B$8="causes",(VLOOKUP($B$7,$N$2:$U$17,7,FALSE)),(VLOOKUP($B$7,$N$2:$U$17,8,FALSE)))))," ",$B$8," ",$I14,"% of ",(VLOOKUP($B$6,$M$2:$S$33,7,FALSE))," cases in Wales")),(CONCATENATE(I14,"% of ",(VLOOKUP($B$6,$M$2:$S$33,7,FALSE))," cases in Wales could be prevented")))</f>
        <v>57% of oesophageal cancer cases in Wales could be prevented</v>
      </c>
    </row>
    <row r="15" spans="1:29" x14ac:dyDescent="0.35">
      <c r="A15" s="39"/>
      <c r="B15" s="39"/>
      <c r="C15" s="39"/>
      <c r="G15" s="35" t="s">
        <v>139</v>
      </c>
      <c r="H15" s="41">
        <f>INDEX('Northern Ireland (2)'!A1:BK18,MATCH(Percentages!B7,'Northern Ireland (2)'!A1:A18,0),MATCH(Percentages!B6,'Northern Ireland (2)'!A1:BK1,0))</f>
        <v>0.55883965875807751</v>
      </c>
      <c r="I15" s="37">
        <f t="shared" si="0"/>
        <v>56</v>
      </c>
      <c r="K15" s="35"/>
      <c r="L15" s="35"/>
      <c r="M15" s="35" t="s">
        <v>51</v>
      </c>
      <c r="N15" s="46" t="s">
        <v>229</v>
      </c>
      <c r="O15" s="35"/>
      <c r="Q15" s="35"/>
      <c r="R15" s="35"/>
      <c r="S15" s="35" t="s">
        <v>121</v>
      </c>
      <c r="T15" s="49" t="s">
        <v>219</v>
      </c>
      <c r="U15" s="35" t="s">
        <v>223</v>
      </c>
      <c r="W15" s="35" t="s">
        <v>139</v>
      </c>
      <c r="X15" s="35" t="str">
        <f>IF(B$7&lt;&gt;"All risk factors combined",(CONCATENATE(((IF($B$8="causes",(VLOOKUP($B$7,$N$2:$U$17,7,FALSE)),(VLOOKUP($B$7,$N$2:$U$17,8,FALSE)))))," ",$B$8," ",$I15,"% of ",(VLOOKUP($B$6,$M$2:$S$33,7,FALSE))," cases in males in Northern Ireland")),(CONCATENATE(I15,"% of ",(VLOOKUP($B$6,$M$2:$S$33,7,FALSE))," cases in males in Northern Ireland could be prevented")))</f>
        <v>56% of oesophageal cancer cases in males in Northern Ireland could be prevented</v>
      </c>
    </row>
    <row r="16" spans="1:29" x14ac:dyDescent="0.35">
      <c r="A16" s="39"/>
      <c r="B16" s="39"/>
      <c r="C16" s="39"/>
      <c r="G16" s="35" t="s">
        <v>144</v>
      </c>
      <c r="H16" s="41">
        <f>INDEX('Northern Ireland (2)'!A19:BK39,MATCH(Percentages!B7,'Northern Ireland (2)'!A19:A39,0),MATCH(Percentages!B6,'Northern Ireland (2)'!A19:BK19,0))</f>
        <v>0.54866065054147173</v>
      </c>
      <c r="I16" s="37">
        <f t="shared" si="0"/>
        <v>55</v>
      </c>
      <c r="K16" s="35"/>
      <c r="L16" s="35"/>
      <c r="M16" s="35" t="s">
        <v>28</v>
      </c>
      <c r="N16" s="46" t="s">
        <v>230</v>
      </c>
      <c r="O16" s="35"/>
      <c r="Q16" s="35"/>
      <c r="R16" s="35"/>
      <c r="S16" s="35" t="s">
        <v>101</v>
      </c>
      <c r="T16" s="34" t="s">
        <v>221</v>
      </c>
      <c r="U16" s="35" t="s">
        <v>224</v>
      </c>
      <c r="W16" s="35" t="s">
        <v>144</v>
      </c>
      <c r="X16" s="35" t="str">
        <f>IF(B$7&lt;&gt;"All risk factors combined",(CONCATENATE(((IF($B$8="causes",(VLOOKUP($B$7,$N$2:$U$17,7,FALSE)),(VLOOKUP($B$7,$N$2:$U$17,8,FALSE)))))," ",$B$8," ",$I16,"% of ",(VLOOKUP($B$6,$M$2:$S$33,7,FALSE))," cases in females in Northern Ireland")),(CONCATENATE(I16,"% of ",(VLOOKUP($B$6,$M$2:$S$33,7,FALSE))," cases in females in Northern Ireland could be prevented")))</f>
        <v>55% of oesophageal cancer cases in females in Northern Ireland could be prevented</v>
      </c>
    </row>
    <row r="17" spans="1:24" x14ac:dyDescent="0.35">
      <c r="A17" s="60" t="s">
        <v>225</v>
      </c>
      <c r="B17" s="39"/>
      <c r="C17" s="39"/>
      <c r="G17" s="35" t="s">
        <v>149</v>
      </c>
      <c r="H17" s="41">
        <f>INDEX('Northern Ireland (2)'!A40:BK60,MATCH(Percentages!B7,'Northern Ireland (2)'!A40:A60,0),MATCH(Percentages!B6,'Northern Ireland (2)'!A40:BK40,0))</f>
        <v>0.5540043822992271</v>
      </c>
      <c r="I17" s="37">
        <f t="shared" si="0"/>
        <v>55</v>
      </c>
      <c r="K17" s="35"/>
      <c r="L17" s="35"/>
      <c r="M17" s="35" t="s">
        <v>30</v>
      </c>
      <c r="N17" s="35"/>
      <c r="O17" s="35"/>
      <c r="Q17" s="35"/>
      <c r="R17" s="35"/>
      <c r="S17" s="35" t="s">
        <v>105</v>
      </c>
      <c r="T17" s="49"/>
      <c r="U17" s="35"/>
      <c r="W17" s="35" t="s">
        <v>149</v>
      </c>
      <c r="X17" s="35" t="str">
        <f>IF(B$7&lt;&gt;"All risk factors combined",(CONCATENATE(((IF($B$8="causes",(VLOOKUP($B$7,$N$2:$U$17,7,FALSE)),(VLOOKUP($B$7,$N$2:$U$17,8,FALSE)))))," ",$B$8," ",$I17,"% of ",(VLOOKUP($B$6,$M$2:$S$33,7,FALSE))," cases in Northern Ireland")),(CONCATENATE(I17,"% of ",(VLOOKUP($B$6,$M$2:$S$33,7,FALSE))," cases in Northern Ireland could be prevented")))</f>
        <v>55% of oesophageal cancer cases in Northern Ireland could be prevented</v>
      </c>
    </row>
    <row r="18" spans="1:24" x14ac:dyDescent="0.35">
      <c r="A18" s="60" t="s">
        <v>226</v>
      </c>
      <c r="B18" s="39"/>
      <c r="C18" s="39"/>
      <c r="K18" s="35"/>
      <c r="L18" s="35"/>
      <c r="M18" s="35" t="s">
        <v>1</v>
      </c>
      <c r="N18" s="35"/>
      <c r="O18" s="35"/>
      <c r="Q18" s="35"/>
      <c r="R18" s="35"/>
      <c r="S18" s="35" t="s">
        <v>107</v>
      </c>
      <c r="T18" s="49"/>
      <c r="U18" s="35"/>
    </row>
    <row r="19" spans="1:24" x14ac:dyDescent="0.35">
      <c r="A19" s="60" t="s">
        <v>227</v>
      </c>
      <c r="B19" s="39"/>
      <c r="C19" s="39"/>
      <c r="K19" s="35"/>
      <c r="L19" s="35"/>
      <c r="M19" s="35" t="s">
        <v>31</v>
      </c>
      <c r="N19" s="35"/>
      <c r="O19" s="35"/>
      <c r="Q19" s="35"/>
      <c r="R19" s="35"/>
      <c r="S19" s="35" t="s">
        <v>106</v>
      </c>
      <c r="T19" s="49"/>
      <c r="U19" s="35"/>
    </row>
    <row r="20" spans="1:24" x14ac:dyDescent="0.35">
      <c r="A20" s="60" t="s">
        <v>228</v>
      </c>
      <c r="B20" s="39"/>
      <c r="C20" s="39"/>
      <c r="K20" s="35"/>
      <c r="L20" s="35"/>
      <c r="M20" s="35" t="s">
        <v>49</v>
      </c>
      <c r="N20" s="35"/>
      <c r="O20" s="35"/>
      <c r="Q20" s="35"/>
      <c r="R20" s="35"/>
      <c r="S20" s="35" t="s">
        <v>118</v>
      </c>
      <c r="T20" s="49"/>
      <c r="U20" s="35"/>
    </row>
    <row r="21" spans="1:24" x14ac:dyDescent="0.35">
      <c r="K21" s="35"/>
      <c r="L21" s="35"/>
      <c r="M21" s="35" t="s">
        <v>46</v>
      </c>
      <c r="N21" s="35"/>
      <c r="O21" s="35"/>
      <c r="Q21" s="35"/>
      <c r="R21" s="35"/>
      <c r="S21" s="35" t="s">
        <v>96</v>
      </c>
      <c r="T21" s="49"/>
      <c r="U21" s="35"/>
    </row>
    <row r="22" spans="1:24" x14ac:dyDescent="0.35">
      <c r="K22" s="35"/>
      <c r="L22" s="35"/>
      <c r="M22" s="35" t="s">
        <v>50</v>
      </c>
      <c r="N22" s="35"/>
      <c r="O22" s="35"/>
      <c r="Q22" s="35"/>
      <c r="R22" s="35"/>
      <c r="S22" s="35" t="s">
        <v>120</v>
      </c>
      <c r="T22" s="49"/>
      <c r="U22" s="35"/>
    </row>
    <row r="23" spans="1:24" x14ac:dyDescent="0.35">
      <c r="K23" s="35"/>
      <c r="L23" s="35"/>
      <c r="M23" s="35" t="s">
        <v>44</v>
      </c>
      <c r="N23" s="35"/>
      <c r="O23" s="35"/>
      <c r="Q23" s="35"/>
      <c r="R23" s="35"/>
      <c r="S23" s="35" t="s">
        <v>85</v>
      </c>
      <c r="T23" s="35"/>
      <c r="U23" s="35"/>
    </row>
    <row r="24" spans="1:24" x14ac:dyDescent="0.35">
      <c r="K24" s="35"/>
      <c r="L24" s="35"/>
      <c r="M24" s="35" t="s">
        <v>42</v>
      </c>
      <c r="O24" s="35"/>
      <c r="Q24" s="35"/>
      <c r="R24" s="35"/>
      <c r="S24" s="35" t="s">
        <v>84</v>
      </c>
      <c r="T24" s="35"/>
      <c r="U24" s="35"/>
    </row>
    <row r="25" spans="1:24" x14ac:dyDescent="0.35">
      <c r="K25" s="35"/>
      <c r="L25" s="35"/>
      <c r="M25" s="35" t="s">
        <v>37</v>
      </c>
      <c r="N25" s="35"/>
      <c r="O25" s="35"/>
      <c r="Q25" s="35"/>
      <c r="R25" s="35"/>
      <c r="S25" s="35" t="s">
        <v>114</v>
      </c>
      <c r="T25" s="35"/>
      <c r="U25" s="35"/>
    </row>
    <row r="26" spans="1:24" x14ac:dyDescent="0.35">
      <c r="K26" s="35"/>
      <c r="L26" s="35"/>
      <c r="M26" s="35" t="s">
        <v>47</v>
      </c>
      <c r="N26" s="35"/>
      <c r="O26" s="35"/>
      <c r="Q26" s="35"/>
      <c r="R26" s="35"/>
      <c r="S26" s="35" t="s">
        <v>102</v>
      </c>
      <c r="T26" s="35"/>
      <c r="U26" s="35"/>
    </row>
    <row r="27" spans="1:24" x14ac:dyDescent="0.35">
      <c r="K27" s="35"/>
      <c r="L27" s="35"/>
      <c r="M27" s="35" t="s">
        <v>38</v>
      </c>
      <c r="N27" s="35"/>
      <c r="O27" s="35"/>
      <c r="Q27" s="35"/>
      <c r="R27" s="35"/>
      <c r="S27" s="35" t="s">
        <v>130</v>
      </c>
      <c r="T27" s="35"/>
      <c r="U27" s="35"/>
    </row>
    <row r="28" spans="1:24" x14ac:dyDescent="0.35">
      <c r="K28" s="35"/>
      <c r="L28" s="35"/>
      <c r="M28" s="35" t="s">
        <v>43</v>
      </c>
      <c r="N28" s="35"/>
      <c r="O28" s="35"/>
      <c r="Q28" s="35"/>
      <c r="R28" s="35"/>
      <c r="S28" s="35" t="s">
        <v>97</v>
      </c>
      <c r="T28" s="35"/>
      <c r="U28" s="35"/>
    </row>
    <row r="29" spans="1:24" x14ac:dyDescent="0.35">
      <c r="K29" s="35"/>
      <c r="L29" s="35"/>
      <c r="M29" s="35" t="s">
        <v>45</v>
      </c>
      <c r="N29" s="35"/>
      <c r="O29" s="35"/>
      <c r="Q29" s="35"/>
      <c r="R29" s="35"/>
      <c r="S29" s="35" t="s">
        <v>98</v>
      </c>
      <c r="T29" s="35"/>
      <c r="U29" s="35"/>
    </row>
    <row r="30" spans="1:24" x14ac:dyDescent="0.35">
      <c r="K30" s="35"/>
      <c r="L30" s="35"/>
      <c r="M30" s="35" t="s">
        <v>41</v>
      </c>
      <c r="N30" s="35"/>
      <c r="O30" s="35"/>
      <c r="Q30" s="35"/>
      <c r="R30" s="35"/>
      <c r="S30" s="35" t="s">
        <v>117</v>
      </c>
      <c r="T30" s="35"/>
      <c r="U30" s="35"/>
    </row>
    <row r="31" spans="1:24" x14ac:dyDescent="0.35">
      <c r="K31" s="35"/>
      <c r="L31" s="35"/>
      <c r="M31" s="35" t="s">
        <v>36</v>
      </c>
      <c r="N31" s="35"/>
      <c r="O31" s="35"/>
      <c r="Q31" s="35"/>
      <c r="R31" s="35"/>
      <c r="S31" s="35" t="s">
        <v>113</v>
      </c>
      <c r="T31" s="35"/>
      <c r="U31" s="35"/>
    </row>
    <row r="32" spans="1:24" x14ac:dyDescent="0.35">
      <c r="K32" s="35"/>
      <c r="L32" s="35"/>
      <c r="M32" s="35" t="s">
        <v>34</v>
      </c>
      <c r="N32" s="35"/>
      <c r="O32" s="35"/>
      <c r="Q32" s="35"/>
      <c r="R32" s="35"/>
      <c r="S32" s="35" t="s">
        <v>111</v>
      </c>
      <c r="T32" s="35"/>
      <c r="U32" s="35"/>
    </row>
    <row r="33" spans="11:21" x14ac:dyDescent="0.35">
      <c r="K33" s="35"/>
      <c r="L33" s="35"/>
      <c r="M33" s="35" t="s">
        <v>33</v>
      </c>
      <c r="N33" s="35"/>
      <c r="O33" s="35"/>
      <c r="Q33" s="35"/>
      <c r="R33" s="35"/>
      <c r="S33" s="35" t="s">
        <v>110</v>
      </c>
      <c r="T33" s="35"/>
      <c r="U33" s="35"/>
    </row>
  </sheetData>
  <sheetProtection sheet="1" objects="1" scenarios="1"/>
  <mergeCells count="4">
    <mergeCell ref="G1:I1"/>
    <mergeCell ref="K1:O1"/>
    <mergeCell ref="Q1:U1"/>
    <mergeCell ref="W1:X1"/>
  </mergeCells>
  <dataValidations count="5">
    <dataValidation type="list" allowBlank="1" showInputMessage="1" showErrorMessage="1" sqref="B8" xr:uid="{00000000-0002-0000-0100-000000000000}">
      <formula1>$O$3:$O$4</formula1>
    </dataValidation>
    <dataValidation type="list" allowBlank="1" showInputMessage="1" showErrorMessage="1" sqref="B5" xr:uid="{00000000-0002-0000-0100-000001000000}">
      <formula1>$L$3:$L$5</formula1>
    </dataValidation>
    <dataValidation type="list" allowBlank="1" showInputMessage="1" showErrorMessage="1" sqref="B4" xr:uid="{00000000-0002-0000-0100-000002000000}">
      <formula1>$K$3:$K$7</formula1>
    </dataValidation>
    <dataValidation type="list" allowBlank="1" showInputMessage="1" showErrorMessage="1" sqref="B6" xr:uid="{00000000-0002-0000-0100-000003000000}">
      <formula1>$M$3:$M$33</formula1>
    </dataValidation>
    <dataValidation type="list" allowBlank="1" showInputMessage="1" showErrorMessage="1" sqref="B7" xr:uid="{00000000-0002-0000-0100-000004000000}">
      <formula1>$N$3:$N$16</formula1>
    </dataValidation>
  </dataValidation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3"/>
  <sheetViews>
    <sheetView showGridLines="0" zoomScaleNormal="100" workbookViewId="0"/>
  </sheetViews>
  <sheetFormatPr defaultColWidth="9.1796875" defaultRowHeight="14.5" x14ac:dyDescent="0.35"/>
  <cols>
    <col min="1" max="1" width="22.54296875" style="33" bestFit="1" customWidth="1"/>
    <col min="2" max="2" width="51.54296875" style="33" customWidth="1"/>
    <col min="3" max="3" width="11.26953125" style="33" customWidth="1"/>
    <col min="4" max="6" width="9.1796875" style="33" hidden="1" customWidth="1"/>
    <col min="7" max="7" width="24.1796875" style="34" hidden="1" customWidth="1"/>
    <col min="8" max="8" width="5.54296875" style="34" hidden="1" customWidth="1"/>
    <col min="9" max="9" width="10.7265625" style="34" hidden="1" customWidth="1"/>
    <col min="10" max="10" width="9.1796875" style="34" hidden="1" customWidth="1"/>
    <col min="11" max="11" width="16" style="34" hidden="1" customWidth="1"/>
    <col min="12" max="12" width="8.453125" style="34" hidden="1" customWidth="1"/>
    <col min="13" max="13" width="46.7265625" style="34" hidden="1" customWidth="1"/>
    <col min="14" max="14" width="27.1796875" style="34" hidden="1" customWidth="1"/>
    <col min="15" max="15" width="22.54296875" style="34" hidden="1" customWidth="1"/>
    <col min="16" max="16" width="9.1796875" style="34" hidden="1" customWidth="1"/>
    <col min="17" max="17" width="16" style="34" hidden="1" customWidth="1"/>
    <col min="18" max="18" width="9.1796875" style="34" hidden="1" customWidth="1"/>
    <col min="19" max="19" width="44.453125" style="34" hidden="1" customWidth="1"/>
    <col min="20" max="20" width="36" style="34" hidden="1" customWidth="1"/>
    <col min="21" max="21" width="33.26953125" style="34" hidden="1" customWidth="1"/>
    <col min="22" max="22" width="9.1796875" style="34" hidden="1" customWidth="1"/>
    <col min="23" max="23" width="24.1796875" style="34" hidden="1" customWidth="1"/>
    <col min="24" max="24" width="103" style="34" hidden="1" customWidth="1"/>
    <col min="25" max="25" width="9.1796875" style="33" hidden="1" customWidth="1"/>
    <col min="26" max="26" width="6.81640625" style="33" hidden="1" customWidth="1"/>
    <col min="27" max="27" width="18.1796875" style="33" hidden="1" customWidth="1"/>
    <col min="28" max="28" width="0" style="33" hidden="1" customWidth="1"/>
    <col min="29" max="16384" width="9.1796875" style="33"/>
  </cols>
  <sheetData>
    <row r="1" spans="1:28" ht="23.5" x14ac:dyDescent="0.55000000000000004">
      <c r="A1" s="38" t="s">
        <v>155</v>
      </c>
      <c r="G1" s="61" t="s">
        <v>131</v>
      </c>
      <c r="H1" s="62"/>
      <c r="I1" s="63"/>
      <c r="K1" s="61" t="s">
        <v>86</v>
      </c>
      <c r="L1" s="62"/>
      <c r="M1" s="62"/>
      <c r="N1" s="62"/>
      <c r="O1" s="63"/>
      <c r="Q1" s="61" t="s">
        <v>90</v>
      </c>
      <c r="R1" s="62"/>
      <c r="S1" s="62"/>
      <c r="T1" s="62"/>
      <c r="U1" s="63"/>
      <c r="W1" s="64" t="s">
        <v>134</v>
      </c>
      <c r="X1" s="64"/>
      <c r="Z1" s="43" t="s">
        <v>157</v>
      </c>
      <c r="AA1" s="43" t="s">
        <v>158</v>
      </c>
    </row>
    <row r="2" spans="1:28" x14ac:dyDescent="0.35">
      <c r="A2" s="39" t="s">
        <v>154</v>
      </c>
      <c r="G2" s="35"/>
      <c r="H2" s="36" t="s">
        <v>132</v>
      </c>
      <c r="I2" s="36" t="s">
        <v>133</v>
      </c>
      <c r="K2" s="36" t="s">
        <v>70</v>
      </c>
      <c r="L2" s="36" t="s">
        <v>71</v>
      </c>
      <c r="M2" s="36" t="s">
        <v>72</v>
      </c>
      <c r="N2" s="36" t="s">
        <v>73</v>
      </c>
      <c r="O2" s="36" t="s">
        <v>87</v>
      </c>
      <c r="Q2" s="36" t="s">
        <v>70</v>
      </c>
      <c r="R2" s="36" t="s">
        <v>71</v>
      </c>
      <c r="S2" s="36" t="s">
        <v>72</v>
      </c>
      <c r="T2" s="36" t="s">
        <v>123</v>
      </c>
      <c r="U2" s="36" t="s">
        <v>124</v>
      </c>
      <c r="W2" s="35"/>
      <c r="X2" s="35"/>
      <c r="Z2" s="42">
        <v>0.01</v>
      </c>
      <c r="AA2" s="42" t="s">
        <v>207</v>
      </c>
      <c r="AB2" s="19"/>
    </row>
    <row r="3" spans="1:28" x14ac:dyDescent="0.35">
      <c r="G3" s="35" t="s">
        <v>135</v>
      </c>
      <c r="H3" s="41">
        <f>INDEX('UK (2)'!A1:BK18,MATCH(Proportions!B7,'UK (2)'!A1:A18,0),MATCH(Proportions!B6,'UK (2)'!A1:BK1,0))</f>
        <v>0.60739066196533265</v>
      </c>
      <c r="I3" s="37" t="str">
        <f t="shared" ref="I3:I17" si="0">IF(H3&lt;0.01,"no statement",(VLOOKUP((ROUND(H3,2)),Z:AA,2,FALSE)))</f>
        <v>around 6 in 10</v>
      </c>
      <c r="K3" s="35" t="s">
        <v>74</v>
      </c>
      <c r="L3" s="35" t="s">
        <v>94</v>
      </c>
      <c r="M3" s="35" t="s">
        <v>53</v>
      </c>
      <c r="N3" s="34" t="s">
        <v>204</v>
      </c>
      <c r="O3" s="35" t="s">
        <v>88</v>
      </c>
      <c r="Q3" s="35" t="s">
        <v>74</v>
      </c>
      <c r="R3" s="35" t="s">
        <v>95</v>
      </c>
      <c r="S3" s="35" t="s">
        <v>69</v>
      </c>
      <c r="T3" s="35" t="s">
        <v>204</v>
      </c>
      <c r="U3" s="35" t="s">
        <v>205</v>
      </c>
      <c r="W3" s="35" t="s">
        <v>135</v>
      </c>
      <c r="X3" s="35" t="str">
        <f>IF(B$7&lt;&gt;"All risk factors combined",(CONCATENATE(((IF($B$8="causes",(VLOOKUP($B$7,$N$2:$U$17,7,FALSE)),(VLOOKUP($B$7,$N$2:$U$17,8,FALSE)))))," ",$B$8," ",$I3," ",(VLOOKUP($B$6,$M$2:$S$33,7,FALSE))," cases in males in the UK")),(CONCATENATE((REPLACE(I3,1,1,UPPER(LEFT(I3,1))))," ",(VLOOKUP($B$6,$M$2:$S$33,7,FALSE))," cases in males in the UK could be prevented")))</f>
        <v>Around 6 in 10 oesophageal cancer cases in males in the UK could be prevented</v>
      </c>
      <c r="Z3" s="42">
        <v>0.02</v>
      </c>
      <c r="AA3" s="42" t="s">
        <v>207</v>
      </c>
      <c r="AB3" s="19"/>
    </row>
    <row r="4" spans="1:28" x14ac:dyDescent="0.35">
      <c r="A4" s="50" t="s">
        <v>80</v>
      </c>
      <c r="B4" s="51" t="s">
        <v>26</v>
      </c>
      <c r="C4" s="39"/>
      <c r="G4" s="35" t="s">
        <v>140</v>
      </c>
      <c r="H4" s="41">
        <f>INDEX('UK (2)'!A19:BK39,MATCH(Proportions!B7,'UK (2)'!A19:A39,0),MATCH(Proportions!B6,'UK (2)'!A19:BK19,0))</f>
        <v>0.54399198205440991</v>
      </c>
      <c r="I4" s="37" t="str">
        <f t="shared" si="0"/>
        <v>more than 5 in 10</v>
      </c>
      <c r="K4" s="35" t="s">
        <v>75</v>
      </c>
      <c r="L4" s="35" t="s">
        <v>78</v>
      </c>
      <c r="M4" s="35" t="s">
        <v>27</v>
      </c>
      <c r="N4" s="35" t="s">
        <v>9</v>
      </c>
      <c r="O4" s="35" t="s">
        <v>89</v>
      </c>
      <c r="Q4" s="35" t="s">
        <v>75</v>
      </c>
      <c r="R4" s="35" t="s">
        <v>92</v>
      </c>
      <c r="S4" s="35" t="s">
        <v>100</v>
      </c>
      <c r="T4" s="35" t="s">
        <v>208</v>
      </c>
      <c r="U4" s="35" t="s">
        <v>209</v>
      </c>
      <c r="W4" s="35" t="s">
        <v>140</v>
      </c>
      <c r="X4" s="35" t="str">
        <f>IF(B$7&lt;&gt;"All risk factors combined",(CONCATENATE(((IF($B$8="causes",(VLOOKUP($B$7,$N$2:$U$17,7,FALSE)),(VLOOKUP($B$7,$N$2:$U$17,8,FALSE)))))," ",$B$8," ",$I4," ",(VLOOKUP($B$6,$M$2:$S$33,7,FALSE))," cases in females in the UK")),(CONCATENATE((REPLACE(I4,1,1,UPPER(LEFT(I4,1))))," ",(VLOOKUP($B$6,$M$2:$S$33,7,FALSE))," cases in females in the UK could be prevented")))</f>
        <v>More than 5 in 10 oesophageal cancer cases in females in the UK could be prevented</v>
      </c>
      <c r="Z4" s="42">
        <v>0.03</v>
      </c>
      <c r="AA4" s="42" t="s">
        <v>207</v>
      </c>
      <c r="AB4" s="19"/>
    </row>
    <row r="5" spans="1:28" x14ac:dyDescent="0.35">
      <c r="A5" s="52" t="s">
        <v>81</v>
      </c>
      <c r="B5" s="53" t="s">
        <v>79</v>
      </c>
      <c r="C5" s="39"/>
      <c r="G5" s="35" t="s">
        <v>145</v>
      </c>
      <c r="H5" s="41">
        <f>INDEX('UK (2)'!A40:BK60,MATCH(Proportions!B7,'UK (2)'!A40:A60,0),MATCH(Proportions!B6,'UK (2)'!A40:BK40,0))</f>
        <v>0.58575142825040705</v>
      </c>
      <c r="I5" s="37" t="str">
        <f t="shared" si="0"/>
        <v>around 6 in 10</v>
      </c>
      <c r="K5" s="35" t="s">
        <v>76</v>
      </c>
      <c r="L5" s="35" t="s">
        <v>79</v>
      </c>
      <c r="M5" s="35" t="s">
        <v>39</v>
      </c>
      <c r="N5" s="35" t="s">
        <v>11</v>
      </c>
      <c r="O5" s="35"/>
      <c r="Q5" s="35" t="s">
        <v>76</v>
      </c>
      <c r="R5" s="35" t="s">
        <v>93</v>
      </c>
      <c r="S5" s="35" t="s">
        <v>115</v>
      </c>
      <c r="T5" s="35" t="s">
        <v>11</v>
      </c>
      <c r="U5" s="35" t="s">
        <v>127</v>
      </c>
      <c r="W5" s="35" t="s">
        <v>145</v>
      </c>
      <c r="X5" s="35" t="str">
        <f>IF(B$7&lt;&gt;"All risk factors combined",(CONCATENATE(((IF($B$8="causes",(VLOOKUP($B$7,$N$2:$U$17,7,FALSE)),(VLOOKUP($B$7,$N$2:$U$17,8,FALSE)))))," ",$B$8," ",$I5," ",(VLOOKUP($B$6,$M$2:$S$33,7,FALSE))," cases in the UK")),(CONCATENATE((REPLACE(I5,1,1,UPPER(LEFT(I5,1))))," ",(VLOOKUP($B$6,$M$2:$S$33,7,FALSE))," cases in the UK could be prevented")))</f>
        <v>Around 6 in 10 oesophageal cancer cases in the UK could be prevented</v>
      </c>
      <c r="Y5"/>
      <c r="Z5" s="40">
        <v>0.04</v>
      </c>
      <c r="AA5" s="40" t="s">
        <v>207</v>
      </c>
      <c r="AB5" s="19"/>
    </row>
    <row r="6" spans="1:28" x14ac:dyDescent="0.35">
      <c r="A6" s="54" t="s">
        <v>82</v>
      </c>
      <c r="B6" s="55" t="s">
        <v>44</v>
      </c>
      <c r="C6" s="39"/>
      <c r="G6" s="35" t="s">
        <v>136</v>
      </c>
      <c r="H6" s="41">
        <f>INDEX('England (2)'!A1:BK18,MATCH(Proportions!B7,'England (2)'!A1:A18,0),MATCH(Proportions!B6,'England (2)'!A1:BK1,0))</f>
        <v>0.60914857541017675</v>
      </c>
      <c r="I6" s="37" t="str">
        <f t="shared" si="0"/>
        <v>around 6 in 10</v>
      </c>
      <c r="K6" s="35" t="s">
        <v>77</v>
      </c>
      <c r="L6" s="35"/>
      <c r="M6" s="35" t="s">
        <v>22</v>
      </c>
      <c r="N6" s="35" t="s">
        <v>14</v>
      </c>
      <c r="O6" s="35"/>
      <c r="Q6" s="35" t="s">
        <v>77</v>
      </c>
      <c r="R6" s="35"/>
      <c r="S6" s="35" t="s">
        <v>99</v>
      </c>
      <c r="T6" s="35" t="s">
        <v>196</v>
      </c>
      <c r="U6" s="35" t="s">
        <v>195</v>
      </c>
      <c r="W6" s="35" t="s">
        <v>136</v>
      </c>
      <c r="X6" s="35" t="str">
        <f>IF(B$7&lt;&gt;"All risk factors combined",(CONCATENATE(((IF($B$8="causes",(VLOOKUP($B$7,$N$2:$U$17,7,FALSE)),(VLOOKUP($B$7,$N$2:$U$17,8,FALSE)))))," ",$B$8," ",$I6," ",(VLOOKUP($B$6,$M$2:$S$33,7,FALSE))," cases in males in England")),(CONCATENATE((REPLACE(I6,1,1,UPPER(LEFT(I6,1))))," ",(VLOOKUP($B$6,$M$2:$S$33,7,FALSE))," cases in males in England could be prevented")))</f>
        <v>Around 6 in 10 oesophageal cancer cases in males in England could be prevented</v>
      </c>
      <c r="Y6"/>
      <c r="Z6" s="40">
        <v>0.05</v>
      </c>
      <c r="AA6" s="40" t="s">
        <v>214</v>
      </c>
      <c r="AB6" s="44"/>
    </row>
    <row r="7" spans="1:28" x14ac:dyDescent="0.35">
      <c r="A7" s="52" t="s">
        <v>83</v>
      </c>
      <c r="B7" s="53" t="s">
        <v>204</v>
      </c>
      <c r="C7" s="56"/>
      <c r="G7" s="35" t="s">
        <v>141</v>
      </c>
      <c r="H7" s="41">
        <f>INDEX('England (2)'!A19:BK39,MATCH(Proportions!B7,'England (2)'!A19:A39,0),MATCH(Proportions!B6,'England (2)'!A19:BK19,0))</f>
        <v>0.54424819526339818</v>
      </c>
      <c r="I7" s="37" t="str">
        <f t="shared" si="0"/>
        <v>more than 5 in 10</v>
      </c>
      <c r="K7" s="35" t="s">
        <v>26</v>
      </c>
      <c r="L7" s="35"/>
      <c r="M7" s="35" t="s">
        <v>52</v>
      </c>
      <c r="N7" s="35" t="s">
        <v>15</v>
      </c>
      <c r="O7" s="35"/>
      <c r="Q7" s="35" t="s">
        <v>91</v>
      </c>
      <c r="R7" s="35"/>
      <c r="S7" s="35" t="s">
        <v>122</v>
      </c>
      <c r="T7" s="35" t="s">
        <v>129</v>
      </c>
      <c r="U7" s="35" t="s">
        <v>128</v>
      </c>
      <c r="W7" s="35" t="s">
        <v>141</v>
      </c>
      <c r="X7" s="35" t="str">
        <f>IF(B$7&lt;&gt;"All risk factors combined",(CONCATENATE(((IF($B$8="causes",(VLOOKUP($B$7,$N$2:$U$17,7,FALSE)),(VLOOKUP($B$7,$N$2:$U$17,8,FALSE)))))," ",$B$8," ",$I7," ",(VLOOKUP($B$6,$M$2:$S$33,7,FALSE))," cases in females in England")),(CONCATENATE((REPLACE(I7,1,1,UPPER(LEFT(I7,1))))," ",(VLOOKUP($B$6,$M$2:$S$33,7,FALSE))," cases in females in England could be prevented")))</f>
        <v>More than 5 in 10 oesophageal cancer cases in females in England could be prevented</v>
      </c>
      <c r="Z7" s="42">
        <v>0.06</v>
      </c>
      <c r="AA7" s="42" t="s">
        <v>213</v>
      </c>
      <c r="AB7" s="19"/>
    </row>
    <row r="8" spans="1:28" x14ac:dyDescent="0.35">
      <c r="A8" s="57" t="s">
        <v>87</v>
      </c>
      <c r="B8" s="58" t="s">
        <v>88</v>
      </c>
      <c r="C8" s="56" t="s">
        <v>206</v>
      </c>
      <c r="G8" s="35" t="s">
        <v>146</v>
      </c>
      <c r="H8" s="41">
        <f>INDEX('England (2)'!A40:BK60,MATCH(Proportions!B7,'England (2)'!A40:A60,0),MATCH(Proportions!B6,'England (2)'!A40:BK40,0))</f>
        <v>0.58731732843875628</v>
      </c>
      <c r="I8" s="37" t="str">
        <f t="shared" si="0"/>
        <v>around 6 in 10</v>
      </c>
      <c r="K8" s="35"/>
      <c r="L8" s="35"/>
      <c r="M8" s="35" t="s">
        <v>32</v>
      </c>
      <c r="N8" s="35" t="s">
        <v>12</v>
      </c>
      <c r="O8" s="35"/>
      <c r="Q8" s="35"/>
      <c r="R8" s="35"/>
      <c r="S8" s="35" t="s">
        <v>109</v>
      </c>
      <c r="T8" s="35" t="s">
        <v>156</v>
      </c>
      <c r="U8" s="35" t="s">
        <v>197</v>
      </c>
      <c r="W8" s="35" t="s">
        <v>146</v>
      </c>
      <c r="X8" s="35" t="str">
        <f>IF(B$7&lt;&gt;"All risk factors combined",(CONCATENATE(((IF($B$8="causes",(VLOOKUP($B$7,$N$2:$U$17,7,FALSE)),(VLOOKUP($B$7,$N$2:$U$17,8,FALSE)))))," ",$B$8," ",$I8," ",(VLOOKUP($B$6,$M$2:$S$33,7,FALSE))," cases in England")),(CONCATENATE((REPLACE(I8,1,1,UPPER(LEFT(I8,1))))," ",(VLOOKUP($B$6,$M$2:$S$33,7,FALSE))," cases in England could be prevented")))</f>
        <v>Around 6 in 10 oesophageal cancer cases in England could be prevented</v>
      </c>
      <c r="Z8" s="42">
        <v>7.0000000000000007E-2</v>
      </c>
      <c r="AA8" s="42" t="s">
        <v>213</v>
      </c>
      <c r="AB8" s="19"/>
    </row>
    <row r="9" spans="1:28" x14ac:dyDescent="0.35">
      <c r="A9" s="39"/>
      <c r="B9" s="39"/>
      <c r="C9" s="39"/>
      <c r="G9" s="35" t="s">
        <v>137</v>
      </c>
      <c r="H9" s="41">
        <f>INDEX('Scotland (2)'!A1:BK18,MATCH(Proportions!B7,'Scotland (2)'!A1:A18,0),MATCH(Proportions!B6,'Scotland (2)'!A1:BK1,0))</f>
        <v>0.6104501854570501</v>
      </c>
      <c r="I9" s="37" t="str">
        <f t="shared" si="0"/>
        <v>around 6 in 10</v>
      </c>
      <c r="K9" s="35"/>
      <c r="L9" s="35"/>
      <c r="M9" s="35" t="s">
        <v>35</v>
      </c>
      <c r="N9" s="35" t="s">
        <v>10</v>
      </c>
      <c r="O9" s="35"/>
      <c r="Q9" s="35"/>
      <c r="R9" s="35"/>
      <c r="S9" s="35" t="s">
        <v>112</v>
      </c>
      <c r="T9" s="35" t="s">
        <v>211</v>
      </c>
      <c r="U9" s="35" t="s">
        <v>150</v>
      </c>
      <c r="W9" s="35" t="s">
        <v>137</v>
      </c>
      <c r="X9" s="35" t="str">
        <f>IF(B$7&lt;&gt;"All risk factors combined",(CONCATENATE(((IF($B$8="causes",(VLOOKUP($B$7,$N$2:$U$17,7,FALSE)),(VLOOKUP($B$7,$N$2:$U$17,8,FALSE)))))," ",$B$8," ",$I9," ",(VLOOKUP($B$6,$M$2:$S$33,7,FALSE))," cases in males in Scotland")),(CONCATENATE((REPLACE(I9,1,1,UPPER(LEFT(I9,1))))," ",(VLOOKUP($B$6,$M$2:$S$33,7,FALSE))," cases in males in Scotland could be prevented")))</f>
        <v>Around 6 in 10 oesophageal cancer cases in males in Scotland could be prevented</v>
      </c>
      <c r="Z9" s="42">
        <v>0.08</v>
      </c>
      <c r="AA9" s="42" t="s">
        <v>215</v>
      </c>
      <c r="AB9" s="19"/>
    </row>
    <row r="10" spans="1:28" x14ac:dyDescent="0.35">
      <c r="A10" s="59" t="s">
        <v>152</v>
      </c>
      <c r="B10" s="39"/>
      <c r="C10" s="39"/>
      <c r="G10" s="35" t="s">
        <v>142</v>
      </c>
      <c r="H10" s="41">
        <f>INDEX('Scotland (2)'!A19:BK39,MATCH(Proportions!B7,'Scotland (2)'!A19:A39,0),MATCH(Proportions!B6,'Scotland (2)'!A19:BK19,0))</f>
        <v>0.55166008933210364</v>
      </c>
      <c r="I10" s="37" t="str">
        <f t="shared" si="0"/>
        <v>almost 6 in 10</v>
      </c>
      <c r="K10" s="35"/>
      <c r="L10" s="35"/>
      <c r="M10" s="35" t="s">
        <v>48</v>
      </c>
      <c r="N10" s="35" t="s">
        <v>56</v>
      </c>
      <c r="O10" s="35"/>
      <c r="Q10" s="35"/>
      <c r="R10" s="35"/>
      <c r="S10" s="35" t="s">
        <v>103</v>
      </c>
      <c r="T10" s="35" t="s">
        <v>125</v>
      </c>
      <c r="U10" s="35" t="s">
        <v>151</v>
      </c>
      <c r="W10" s="35" t="s">
        <v>142</v>
      </c>
      <c r="X10" s="35" t="str">
        <f>IF(B$7&lt;&gt;"All risk factors combined",(CONCATENATE(((IF($B$8="causes",(VLOOKUP($B$7,$N$2:$U$17,7,FALSE)),(VLOOKUP($B$7,$N$2:$U$17,8,FALSE)))))," ",$B$8," ",$I10," ",(VLOOKUP($B$6,$M$2:$S$33,7,FALSE))," cases in females in Scotland")),(CONCATENATE((REPLACE(I10,1,1,UPPER(LEFT(I10,1))))," ",(VLOOKUP($B$6,$M$2:$S$33,7,FALSE))," cases in females in Scotland could be prevented")))</f>
        <v>Almost 6 in 10 oesophageal cancer cases in females in Scotland could be prevented</v>
      </c>
      <c r="Z10" s="42">
        <v>0.09</v>
      </c>
      <c r="AA10" s="42" t="s">
        <v>175</v>
      </c>
      <c r="AB10" s="19"/>
    </row>
    <row r="11" spans="1:28" x14ac:dyDescent="0.35">
      <c r="A11" s="39" t="str">
        <f>IF(ISNUMBER(SEARCH("no statement",VLOOKUP((CONCATENATE(B4, " ", B5)), W3:X17, 2, FALSE))),"&lt;&lt; no statement &gt;&gt;",VLOOKUP((CONCATENATE(B4, " ", B5)), W3:X17, 2, FALSE))</f>
        <v>Around 6 in 10 oesophageal cancer cases in the UK could be prevented</v>
      </c>
      <c r="B11" s="39"/>
      <c r="C11" s="39"/>
      <c r="G11" s="35" t="s">
        <v>147</v>
      </c>
      <c r="H11" s="41">
        <f>INDEX('Scotland (2)'!A40:BK60,MATCH(Proportions!B7,'Scotland (2)'!A40:A60,0),MATCH(Proportions!B6,'Scotland (2)'!A40:BK40,0))</f>
        <v>0.58884788921475018</v>
      </c>
      <c r="I11" s="37" t="str">
        <f t="shared" si="0"/>
        <v>around 6 in 10</v>
      </c>
      <c r="K11" s="35"/>
      <c r="L11" s="35"/>
      <c r="M11" s="35" t="s">
        <v>3</v>
      </c>
      <c r="N11" s="35" t="s">
        <v>13</v>
      </c>
      <c r="O11" s="35"/>
      <c r="Q11" s="35"/>
      <c r="R11" s="35"/>
      <c r="S11" s="35" t="s">
        <v>119</v>
      </c>
      <c r="T11" s="40" t="s">
        <v>198</v>
      </c>
      <c r="U11" s="40" t="s">
        <v>199</v>
      </c>
      <c r="W11" s="35" t="s">
        <v>147</v>
      </c>
      <c r="X11" s="35" t="str">
        <f>IF(B$7&lt;&gt;"All risk factors combined",(CONCATENATE(((IF($B$8="causes",(VLOOKUP($B$7,$N$2:$U$17,7,FALSE)),(VLOOKUP($B$7,$N$2:$U$17,8,FALSE)))))," ",$B$8," ",$I11," ",(VLOOKUP($B$6,$M$2:$S$33,7,FALSE))," cases in Scotland")),(CONCATENATE((REPLACE(I11,1,1,UPPER(LEFT(I11,1))))," ",(VLOOKUP($B$6,$M$2:$S$33,7,FALSE))," cases in Scotland could be prevented")))</f>
        <v>Around 6 in 10 oesophageal cancer cases in Scotland could be prevented</v>
      </c>
      <c r="Z11" s="42">
        <v>0.1</v>
      </c>
      <c r="AA11" s="42" t="s">
        <v>159</v>
      </c>
      <c r="AB11" s="44"/>
    </row>
    <row r="12" spans="1:28" x14ac:dyDescent="0.35">
      <c r="A12" s="39"/>
      <c r="B12" s="39"/>
      <c r="C12" s="39"/>
      <c r="G12" s="35" t="s">
        <v>138</v>
      </c>
      <c r="H12" s="41">
        <f>INDEX('Wales (2)'!A1:BK18,MATCH(Proportions!B7,'Wales (2)'!A1:A18,0),MATCH(Proportions!B6,'Wales (2)'!A1:BK1,0))</f>
        <v>0.5931682150717883</v>
      </c>
      <c r="I12" s="37" t="str">
        <f t="shared" si="0"/>
        <v>around 6 in 10</v>
      </c>
      <c r="K12" s="35"/>
      <c r="L12" s="35"/>
      <c r="M12" s="35" t="s">
        <v>2</v>
      </c>
      <c r="N12" s="35" t="s">
        <v>55</v>
      </c>
      <c r="O12" s="35"/>
      <c r="Q12" s="35"/>
      <c r="R12" s="35"/>
      <c r="S12" s="35" t="s">
        <v>108</v>
      </c>
      <c r="T12" s="35" t="s">
        <v>210</v>
      </c>
      <c r="U12" s="35" t="s">
        <v>126</v>
      </c>
      <c r="W12" s="35" t="s">
        <v>138</v>
      </c>
      <c r="X12" s="35" t="str">
        <f>IF(B$7&lt;&gt;"All risk factors combined",(CONCATENATE(((IF($B$8="causes",(VLOOKUP($B$7,$N$2:$U$17,7,FALSE)),(VLOOKUP($B$7,$N$2:$U$17,8,FALSE)))))," ",$B$8," ",$I12," ",(VLOOKUP($B$6,$M$2:$S$33,7,FALSE))," cases in males in Wales")),(CONCATENATE((REPLACE(I12,1,1,UPPER(LEFT(I12,1))))," ",(VLOOKUP($B$6,$M$2:$S$33,7,FALSE))," cases in males in Wales could be prevented")))</f>
        <v>Around 6 in 10 oesophageal cancer cases in males in Wales could be prevented</v>
      </c>
      <c r="Z12" s="42">
        <v>0.11</v>
      </c>
      <c r="AA12" s="42" t="s">
        <v>175</v>
      </c>
      <c r="AB12" s="19"/>
    </row>
    <row r="13" spans="1:28" x14ac:dyDescent="0.35">
      <c r="A13" s="59" t="s">
        <v>153</v>
      </c>
      <c r="B13" s="39"/>
      <c r="C13" s="39"/>
      <c r="G13" s="35" t="s">
        <v>143</v>
      </c>
      <c r="H13" s="41">
        <f>INDEX('Wales (2)'!A19:BK39,MATCH(Proportions!B7,'Wales (2)'!A19:A39,0),MATCH(Proportions!B6,'Wales (2)'!A19:BK19,0))</f>
        <v>0.52310056958779394</v>
      </c>
      <c r="I13" s="37" t="str">
        <f t="shared" si="0"/>
        <v>around 5 in 10</v>
      </c>
      <c r="K13" s="35"/>
      <c r="L13" s="35"/>
      <c r="M13" s="35" t="s">
        <v>40</v>
      </c>
      <c r="N13" s="35" t="s">
        <v>16</v>
      </c>
      <c r="O13" s="35"/>
      <c r="Q13" s="35"/>
      <c r="R13" s="35"/>
      <c r="S13" s="35" t="s">
        <v>116</v>
      </c>
      <c r="T13" s="40" t="s">
        <v>200</v>
      </c>
      <c r="U13" s="40" t="s">
        <v>201</v>
      </c>
      <c r="W13" s="35" t="s">
        <v>143</v>
      </c>
      <c r="X13" s="35" t="str">
        <f>IF(B$7&lt;&gt;"All risk factors combined",(CONCATENATE(((IF($B$8="causes",(VLOOKUP($B$7,$N$2:$U$17,7,FALSE)),(VLOOKUP($B$7,$N$2:$U$17,8,FALSE)))))," ",$B$8," ",$I13," ",(VLOOKUP($B$6,$M$2:$S$33,7,FALSE))," cases in females in Wales")),(CONCATENATE((REPLACE(I13,1,1,UPPER(LEFT(I13,1))))," ",(VLOOKUP($B$6,$M$2:$S$33,7,FALSE))," cases in females in Wales could be prevented")))</f>
        <v>Around 5 in 10 oesophageal cancer cases in females in Wales could be prevented</v>
      </c>
      <c r="Z13" s="42">
        <v>0.12</v>
      </c>
      <c r="AA13" s="42" t="s">
        <v>185</v>
      </c>
      <c r="AB13" s="19"/>
    </row>
    <row r="14" spans="1:28" x14ac:dyDescent="0.35">
      <c r="A14" s="39" t="s">
        <v>231</v>
      </c>
      <c r="B14" s="39"/>
      <c r="C14" s="39"/>
      <c r="G14" s="35" t="s">
        <v>148</v>
      </c>
      <c r="H14" s="41">
        <f>INDEX('Wales (2)'!A40:BK60,MATCH(Proportions!B7,'Wales (2)'!A40:A60,0),MATCH(Proportions!B6,'Wales (2)'!A40:BK40,0))</f>
        <v>0.56912725720501545</v>
      </c>
      <c r="I14" s="37" t="str">
        <f t="shared" si="0"/>
        <v>almost 6 in 10</v>
      </c>
      <c r="K14" s="35"/>
      <c r="L14" s="35"/>
      <c r="M14" s="35" t="s">
        <v>29</v>
      </c>
      <c r="N14" s="35" t="s">
        <v>222</v>
      </c>
      <c r="O14" s="35"/>
      <c r="Q14" s="35"/>
      <c r="R14" s="35"/>
      <c r="S14" s="35" t="s">
        <v>104</v>
      </c>
      <c r="T14" s="40" t="s">
        <v>202</v>
      </c>
      <c r="U14" s="40" t="s">
        <v>203</v>
      </c>
      <c r="W14" s="35" t="s">
        <v>148</v>
      </c>
      <c r="X14" s="35" t="str">
        <f>IF(B$7&lt;&gt;"All risk factors combined",(CONCATENATE(((IF($B$8="causes",(VLOOKUP($B$7,$N$2:$U$17,7,FALSE)),(VLOOKUP($B$7,$N$2:$U$17,8,FALSE)))))," ",$B$8," ",$I14," ",(VLOOKUP($B$6,$M$2:$S$33,7,FALSE))," cases in Wales")),(CONCATENATE((REPLACE(I14,1,1,UPPER(LEFT(I14,1))))," ",(VLOOKUP($B$6,$M$2:$S$33,7,FALSE))," cases in Wales could be prevented")))</f>
        <v>Almost 6 in 10 oesophageal cancer cases in Wales could be prevented</v>
      </c>
      <c r="Z14" s="42">
        <v>0.13</v>
      </c>
      <c r="AA14" s="42" t="s">
        <v>216</v>
      </c>
      <c r="AB14" s="19"/>
    </row>
    <row r="15" spans="1:28" x14ac:dyDescent="0.35">
      <c r="A15" s="39"/>
      <c r="B15" s="39"/>
      <c r="C15" s="39"/>
      <c r="G15" s="35" t="s">
        <v>139</v>
      </c>
      <c r="H15" s="41">
        <f>INDEX('Northern Ireland (2)'!A1:BK18,MATCH(Proportions!B7,'Northern Ireland (2)'!A1:A18,0),MATCH(Proportions!B6,'Northern Ireland (2)'!A1:BK1,0))</f>
        <v>0.55883965875807751</v>
      </c>
      <c r="I15" s="37" t="str">
        <f t="shared" si="0"/>
        <v>almost 6 in 10</v>
      </c>
      <c r="K15" s="35"/>
      <c r="L15" s="35"/>
      <c r="M15" s="35" t="s">
        <v>51</v>
      </c>
      <c r="N15" s="46" t="s">
        <v>229</v>
      </c>
      <c r="O15" s="35"/>
      <c r="Q15" s="35"/>
      <c r="R15" s="35"/>
      <c r="S15" s="35" t="s">
        <v>121</v>
      </c>
      <c r="T15" s="49" t="s">
        <v>219</v>
      </c>
      <c r="U15" s="35" t="s">
        <v>223</v>
      </c>
      <c r="W15" s="35" t="s">
        <v>139</v>
      </c>
      <c r="X15" s="35" t="str">
        <f>IF(B$7&lt;&gt;"All risk factors combined",(CONCATENATE(((IF($B$8="causes",(VLOOKUP($B$7,$N$2:$U$17,7,FALSE)),(VLOOKUP($B$7,$N$2:$U$17,8,FALSE)))))," ",$B$8," ",$I15," ",(VLOOKUP($B$6,$M$2:$S$33,7,FALSE))," cases in males in Northern Ireland")),(CONCATENATE((REPLACE(I15,1,1,UPPER(LEFT(I15,1))))," ",(VLOOKUP($B$6,$M$2:$S$33,7,FALSE))," cases in males in Northern Ireland could be prevented")))</f>
        <v>Almost 6 in 10 oesophageal cancer cases in males in Northern Ireland could be prevented</v>
      </c>
      <c r="Z15" s="42">
        <v>0.14000000000000001</v>
      </c>
      <c r="AA15" s="42" t="s">
        <v>217</v>
      </c>
      <c r="AB15" s="19"/>
    </row>
    <row r="16" spans="1:28" x14ac:dyDescent="0.35">
      <c r="A16" s="39"/>
      <c r="B16" s="39"/>
      <c r="C16" s="39"/>
      <c r="G16" s="35" t="s">
        <v>144</v>
      </c>
      <c r="H16" s="41">
        <f>INDEX('Northern Ireland (2)'!A19:BK39,MATCH(Proportions!B7,'Northern Ireland (2)'!A19:A39,0),MATCH(Proportions!B6,'Northern Ireland (2)'!A19:BK19,0))</f>
        <v>0.54866065054147173</v>
      </c>
      <c r="I16" s="37" t="str">
        <f t="shared" si="0"/>
        <v>almost 6 in 10</v>
      </c>
      <c r="K16" s="35"/>
      <c r="L16" s="35"/>
      <c r="M16" s="35" t="s">
        <v>28</v>
      </c>
      <c r="N16" s="46" t="s">
        <v>230</v>
      </c>
      <c r="O16" s="35"/>
      <c r="Q16" s="35"/>
      <c r="R16" s="35"/>
      <c r="S16" s="35" t="s">
        <v>101</v>
      </c>
      <c r="T16" s="34" t="s">
        <v>221</v>
      </c>
      <c r="U16" s="35" t="s">
        <v>224</v>
      </c>
      <c r="W16" s="35" t="s">
        <v>144</v>
      </c>
      <c r="X16" s="35" t="str">
        <f>IF(B$7&lt;&gt;"All risk factors combined",(CONCATENATE(((IF($B$8="causes",(VLOOKUP($B$7,$N$2:$U$17,7,FALSE)),(VLOOKUP($B$7,$N$2:$U$17,8,FALSE)))))," ",$B$8," ",$I16," ",(VLOOKUP($B$6,$M$2:$S$33,7,FALSE))," cases in females in Northern Ireland")),(CONCATENATE((REPLACE(I16,1,1,UPPER(LEFT(I16,1))))," ",(VLOOKUP($B$6,$M$2:$S$33,7,FALSE))," cases in females in Northern Ireland could be prevented")))</f>
        <v>Almost 6 in 10 oesophageal cancer cases in females in Northern Ireland could be prevented</v>
      </c>
      <c r="Z16" s="42">
        <v>0.15</v>
      </c>
      <c r="AA16" s="42" t="s">
        <v>212</v>
      </c>
      <c r="AB16" s="19"/>
    </row>
    <row r="17" spans="1:28" x14ac:dyDescent="0.35">
      <c r="A17" s="60" t="s">
        <v>225</v>
      </c>
      <c r="B17" s="39"/>
      <c r="C17" s="39"/>
      <c r="G17" s="35" t="s">
        <v>149</v>
      </c>
      <c r="H17" s="41">
        <f>INDEX('Northern Ireland (2)'!A40:BK60,MATCH(Proportions!B7,'Northern Ireland (2)'!A40:A60,0),MATCH(Proportions!B6,'Northern Ireland (2)'!A40:BK40,0))</f>
        <v>0.5540043822992271</v>
      </c>
      <c r="I17" s="37" t="str">
        <f t="shared" si="0"/>
        <v>almost 6 in 10</v>
      </c>
      <c r="K17" s="35"/>
      <c r="L17" s="35"/>
      <c r="M17" s="35" t="s">
        <v>30</v>
      </c>
      <c r="N17" s="35"/>
      <c r="O17" s="35"/>
      <c r="Q17" s="35"/>
      <c r="R17" s="35"/>
      <c r="S17" s="35" t="s">
        <v>105</v>
      </c>
      <c r="T17" s="49"/>
      <c r="U17" s="35"/>
      <c r="W17" s="35" t="s">
        <v>149</v>
      </c>
      <c r="X17" s="35" t="str">
        <f>IF(B$7&lt;&gt;"All risk factors combined",(CONCATENATE(((IF($B$8="causes",(VLOOKUP($B$7,$N$2:$U$17,7,FALSE)),(VLOOKUP($B$7,$N$2:$U$17,8,FALSE)))))," ",$B$8," ",$I17," ",(VLOOKUP($B$6,$M$2:$S$33,7,FALSE))," cases in Northern Ireland")),(CONCATENATE((REPLACE(I17,1,1,UPPER(LEFT(I17,1))))," ",(VLOOKUP($B$6,$M$2:$S$33,7,FALSE))," cases in Northern Ireland could be prevented")))</f>
        <v>Almost 6 in 10 oesophageal cancer cases in Northern Ireland could be prevented</v>
      </c>
      <c r="Z17" s="42">
        <v>0.16</v>
      </c>
      <c r="AA17" s="42" t="s">
        <v>217</v>
      </c>
      <c r="AB17" s="19"/>
    </row>
    <row r="18" spans="1:28" x14ac:dyDescent="0.35">
      <c r="A18" s="60" t="s">
        <v>226</v>
      </c>
      <c r="B18" s="39"/>
      <c r="C18" s="39"/>
      <c r="K18" s="35"/>
      <c r="L18" s="35"/>
      <c r="M18" s="35" t="s">
        <v>1</v>
      </c>
      <c r="N18" s="35"/>
      <c r="O18" s="35"/>
      <c r="Q18" s="35"/>
      <c r="R18" s="35"/>
      <c r="S18" s="35" t="s">
        <v>107</v>
      </c>
      <c r="T18" s="49"/>
      <c r="U18" s="35"/>
      <c r="Z18" s="42">
        <v>0.17</v>
      </c>
      <c r="AA18" s="42" t="s">
        <v>218</v>
      </c>
      <c r="AB18" s="44"/>
    </row>
    <row r="19" spans="1:28" x14ac:dyDescent="0.35">
      <c r="A19" s="60" t="s">
        <v>227</v>
      </c>
      <c r="B19" s="39"/>
      <c r="C19" s="39"/>
      <c r="K19" s="35"/>
      <c r="L19" s="35"/>
      <c r="M19" s="35" t="s">
        <v>31</v>
      </c>
      <c r="N19" s="35"/>
      <c r="O19" s="35"/>
      <c r="Q19" s="35"/>
      <c r="R19" s="35"/>
      <c r="S19" s="35" t="s">
        <v>106</v>
      </c>
      <c r="T19" s="49"/>
      <c r="U19" s="35"/>
      <c r="Z19" s="42">
        <v>0.18</v>
      </c>
      <c r="AA19" s="42" t="s">
        <v>176</v>
      </c>
      <c r="AB19" s="19"/>
    </row>
    <row r="20" spans="1:28" x14ac:dyDescent="0.35">
      <c r="A20" s="60" t="s">
        <v>228</v>
      </c>
      <c r="B20" s="39"/>
      <c r="C20" s="39"/>
      <c r="K20" s="35"/>
      <c r="L20" s="35"/>
      <c r="M20" s="35" t="s">
        <v>49</v>
      </c>
      <c r="N20" s="35"/>
      <c r="O20" s="35"/>
      <c r="Q20" s="35"/>
      <c r="R20" s="35"/>
      <c r="S20" s="35" t="s">
        <v>118</v>
      </c>
      <c r="T20" s="49"/>
      <c r="U20" s="35"/>
      <c r="Z20" s="42">
        <v>0.19</v>
      </c>
      <c r="AA20" s="42" t="s">
        <v>176</v>
      </c>
      <c r="AB20" s="19"/>
    </row>
    <row r="21" spans="1:28" x14ac:dyDescent="0.35">
      <c r="K21" s="35"/>
      <c r="L21" s="35"/>
      <c r="M21" s="35" t="s">
        <v>46</v>
      </c>
      <c r="N21" s="35"/>
      <c r="O21" s="35"/>
      <c r="Q21" s="35"/>
      <c r="R21" s="35"/>
      <c r="S21" s="35" t="s">
        <v>96</v>
      </c>
      <c r="T21" s="49"/>
      <c r="U21" s="35"/>
      <c r="Z21" s="42">
        <v>0.2</v>
      </c>
      <c r="AA21" s="42" t="s">
        <v>160</v>
      </c>
      <c r="AB21" s="19"/>
    </row>
    <row r="22" spans="1:28" x14ac:dyDescent="0.35">
      <c r="K22" s="35"/>
      <c r="L22" s="35"/>
      <c r="M22" s="35" t="s">
        <v>50</v>
      </c>
      <c r="N22" s="35"/>
      <c r="O22" s="35"/>
      <c r="Q22" s="35"/>
      <c r="R22" s="35"/>
      <c r="S22" s="35" t="s">
        <v>120</v>
      </c>
      <c r="T22" s="49"/>
      <c r="U22" s="35"/>
      <c r="Z22" s="42">
        <v>0.21</v>
      </c>
      <c r="AA22" s="42" t="s">
        <v>176</v>
      </c>
      <c r="AB22" s="19"/>
    </row>
    <row r="23" spans="1:28" x14ac:dyDescent="0.35">
      <c r="K23" s="35"/>
      <c r="L23" s="35"/>
      <c r="M23" s="35" t="s">
        <v>44</v>
      </c>
      <c r="N23" s="35"/>
      <c r="O23" s="35"/>
      <c r="Q23" s="35"/>
      <c r="R23" s="35"/>
      <c r="S23" s="35" t="s">
        <v>85</v>
      </c>
      <c r="T23" s="35"/>
      <c r="U23" s="35"/>
      <c r="Z23" s="42">
        <v>0.22</v>
      </c>
      <c r="AA23" s="42" t="s">
        <v>176</v>
      </c>
      <c r="AB23" s="44"/>
    </row>
    <row r="24" spans="1:28" x14ac:dyDescent="0.35">
      <c r="K24" s="35"/>
      <c r="L24" s="35"/>
      <c r="M24" s="35" t="s">
        <v>42</v>
      </c>
      <c r="O24" s="35"/>
      <c r="Q24" s="35"/>
      <c r="R24" s="35"/>
      <c r="S24" s="35" t="s">
        <v>84</v>
      </c>
      <c r="T24" s="35"/>
      <c r="U24" s="35"/>
      <c r="Z24" s="42">
        <v>0.23</v>
      </c>
      <c r="AA24" s="42" t="s">
        <v>186</v>
      </c>
      <c r="AB24" s="19"/>
    </row>
    <row r="25" spans="1:28" x14ac:dyDescent="0.35">
      <c r="K25" s="35"/>
      <c r="L25" s="35"/>
      <c r="M25" s="35" t="s">
        <v>37</v>
      </c>
      <c r="N25" s="35"/>
      <c r="O25" s="35"/>
      <c r="Q25" s="35"/>
      <c r="R25" s="35"/>
      <c r="S25" s="35" t="s">
        <v>114</v>
      </c>
      <c r="T25" s="35"/>
      <c r="U25" s="35"/>
      <c r="Z25" s="42">
        <v>0.24</v>
      </c>
      <c r="AA25" s="42" t="s">
        <v>186</v>
      </c>
      <c r="AB25" s="19"/>
    </row>
    <row r="26" spans="1:28" x14ac:dyDescent="0.35">
      <c r="K26" s="35"/>
      <c r="L26" s="35"/>
      <c r="M26" s="35" t="s">
        <v>47</v>
      </c>
      <c r="N26" s="35"/>
      <c r="O26" s="35"/>
      <c r="Q26" s="35"/>
      <c r="R26" s="35"/>
      <c r="S26" s="35" t="s">
        <v>102</v>
      </c>
      <c r="T26" s="35"/>
      <c r="U26" s="35"/>
      <c r="Z26" s="42">
        <v>0.25</v>
      </c>
      <c r="AA26" s="42" t="s">
        <v>168</v>
      </c>
      <c r="AB26" s="19"/>
    </row>
    <row r="27" spans="1:28" x14ac:dyDescent="0.35">
      <c r="K27" s="35"/>
      <c r="L27" s="35"/>
      <c r="M27" s="35" t="s">
        <v>38</v>
      </c>
      <c r="N27" s="35"/>
      <c r="O27" s="35"/>
      <c r="Q27" s="35"/>
      <c r="R27" s="35"/>
      <c r="S27" s="35" t="s">
        <v>130</v>
      </c>
      <c r="T27" s="35"/>
      <c r="U27" s="35"/>
      <c r="Z27" s="42">
        <v>0.26</v>
      </c>
      <c r="AA27" s="42" t="s">
        <v>168</v>
      </c>
      <c r="AB27" s="19"/>
    </row>
    <row r="28" spans="1:28" x14ac:dyDescent="0.35">
      <c r="K28" s="35"/>
      <c r="L28" s="35"/>
      <c r="M28" s="35" t="s">
        <v>43</v>
      </c>
      <c r="N28" s="35"/>
      <c r="O28" s="35"/>
      <c r="Q28" s="35"/>
      <c r="R28" s="35"/>
      <c r="S28" s="35" t="s">
        <v>97</v>
      </c>
      <c r="T28" s="35"/>
      <c r="U28" s="35"/>
      <c r="Z28" s="42">
        <v>0.27</v>
      </c>
      <c r="AA28" s="42" t="s">
        <v>168</v>
      </c>
      <c r="AB28" s="44"/>
    </row>
    <row r="29" spans="1:28" x14ac:dyDescent="0.35">
      <c r="K29" s="35"/>
      <c r="L29" s="35"/>
      <c r="M29" s="35" t="s">
        <v>45</v>
      </c>
      <c r="N29" s="35"/>
      <c r="O29" s="35"/>
      <c r="Q29" s="35"/>
      <c r="R29" s="35"/>
      <c r="S29" s="35" t="s">
        <v>98</v>
      </c>
      <c r="T29" s="35"/>
      <c r="U29" s="35"/>
      <c r="Z29" s="42">
        <v>0.28000000000000003</v>
      </c>
      <c r="AA29" s="42" t="s">
        <v>177</v>
      </c>
      <c r="AB29" s="19"/>
    </row>
    <row r="30" spans="1:28" x14ac:dyDescent="0.35">
      <c r="K30" s="35"/>
      <c r="L30" s="35"/>
      <c r="M30" s="35" t="s">
        <v>41</v>
      </c>
      <c r="N30" s="35"/>
      <c r="O30" s="35"/>
      <c r="Q30" s="35"/>
      <c r="R30" s="35"/>
      <c r="S30" s="35" t="s">
        <v>117</v>
      </c>
      <c r="T30" s="35"/>
      <c r="U30" s="35"/>
      <c r="Z30" s="42">
        <v>0.28999999999999998</v>
      </c>
      <c r="AA30" s="42" t="s">
        <v>177</v>
      </c>
      <c r="AB30" s="19"/>
    </row>
    <row r="31" spans="1:28" x14ac:dyDescent="0.35">
      <c r="K31" s="35"/>
      <c r="L31" s="35"/>
      <c r="M31" s="35" t="s">
        <v>36</v>
      </c>
      <c r="N31" s="35"/>
      <c r="O31" s="35"/>
      <c r="Q31" s="35"/>
      <c r="R31" s="35"/>
      <c r="S31" s="35" t="s">
        <v>113</v>
      </c>
      <c r="T31" s="35"/>
      <c r="U31" s="35"/>
      <c r="Z31" s="42">
        <v>0.3</v>
      </c>
      <c r="AA31" s="42" t="s">
        <v>161</v>
      </c>
      <c r="AB31" s="19"/>
    </row>
    <row r="32" spans="1:28" x14ac:dyDescent="0.35">
      <c r="K32" s="35"/>
      <c r="L32" s="35"/>
      <c r="M32" s="35" t="s">
        <v>34</v>
      </c>
      <c r="N32" s="35"/>
      <c r="O32" s="35"/>
      <c r="Q32" s="35"/>
      <c r="R32" s="35"/>
      <c r="S32" s="35" t="s">
        <v>111</v>
      </c>
      <c r="T32" s="35"/>
      <c r="U32" s="35"/>
      <c r="Z32" s="42">
        <v>0.31</v>
      </c>
      <c r="AA32" s="42" t="s">
        <v>177</v>
      </c>
      <c r="AB32" s="19"/>
    </row>
    <row r="33" spans="11:28" x14ac:dyDescent="0.35">
      <c r="K33" s="35"/>
      <c r="L33" s="35"/>
      <c r="M33" s="35" t="s">
        <v>33</v>
      </c>
      <c r="N33" s="35"/>
      <c r="O33" s="35"/>
      <c r="Q33" s="35"/>
      <c r="R33" s="35"/>
      <c r="S33" s="35" t="s">
        <v>110</v>
      </c>
      <c r="T33" s="35"/>
      <c r="U33" s="35"/>
      <c r="Z33" s="42">
        <v>0.32</v>
      </c>
      <c r="AA33" s="42" t="s">
        <v>177</v>
      </c>
      <c r="AB33" s="19"/>
    </row>
    <row r="34" spans="11:28" x14ac:dyDescent="0.35">
      <c r="Z34" s="42">
        <v>0.33</v>
      </c>
      <c r="AA34" s="42" t="s">
        <v>187</v>
      </c>
      <c r="AB34" s="19"/>
    </row>
    <row r="35" spans="11:28" x14ac:dyDescent="0.35">
      <c r="Z35" s="42">
        <v>0.34</v>
      </c>
      <c r="AA35" s="42" t="s">
        <v>187</v>
      </c>
      <c r="AB35" s="19"/>
    </row>
    <row r="36" spans="11:28" x14ac:dyDescent="0.35">
      <c r="Z36" s="42">
        <v>0.35</v>
      </c>
      <c r="AA36" s="42" t="s">
        <v>169</v>
      </c>
      <c r="AB36" s="44"/>
    </row>
    <row r="37" spans="11:28" x14ac:dyDescent="0.35">
      <c r="Z37" s="42">
        <v>0.36</v>
      </c>
      <c r="AA37" s="42" t="s">
        <v>169</v>
      </c>
      <c r="AB37" s="19"/>
    </row>
    <row r="38" spans="11:28" x14ac:dyDescent="0.35">
      <c r="Z38" s="42">
        <v>0.37</v>
      </c>
      <c r="AA38" s="42" t="s">
        <v>169</v>
      </c>
      <c r="AB38" s="19"/>
    </row>
    <row r="39" spans="11:28" x14ac:dyDescent="0.35">
      <c r="Z39" s="42">
        <v>0.38</v>
      </c>
      <c r="AA39" s="42" t="s">
        <v>178</v>
      </c>
      <c r="AB39" s="19"/>
    </row>
    <row r="40" spans="11:28" x14ac:dyDescent="0.35">
      <c r="Z40" s="42">
        <v>0.39</v>
      </c>
      <c r="AA40" s="42" t="s">
        <v>178</v>
      </c>
      <c r="AB40" s="19"/>
    </row>
    <row r="41" spans="11:28" x14ac:dyDescent="0.35">
      <c r="Z41" s="42">
        <v>0.4</v>
      </c>
      <c r="AA41" s="42" t="s">
        <v>162</v>
      </c>
      <c r="AB41" s="19"/>
    </row>
    <row r="42" spans="11:28" x14ac:dyDescent="0.35">
      <c r="Z42" s="42">
        <v>0.41</v>
      </c>
      <c r="AA42" s="42" t="s">
        <v>178</v>
      </c>
      <c r="AB42" s="19"/>
    </row>
    <row r="43" spans="11:28" x14ac:dyDescent="0.35">
      <c r="Z43" s="42">
        <v>0.42</v>
      </c>
      <c r="AA43" s="42" t="s">
        <v>178</v>
      </c>
      <c r="AB43" s="44"/>
    </row>
    <row r="44" spans="11:28" x14ac:dyDescent="0.35">
      <c r="Z44" s="42">
        <v>0.43</v>
      </c>
      <c r="AA44" s="42" t="s">
        <v>188</v>
      </c>
      <c r="AB44" s="19"/>
    </row>
    <row r="45" spans="11:28" x14ac:dyDescent="0.35">
      <c r="Z45" s="42">
        <v>0.44</v>
      </c>
      <c r="AA45" s="42" t="s">
        <v>188</v>
      </c>
      <c r="AB45" s="19"/>
    </row>
    <row r="46" spans="11:28" x14ac:dyDescent="0.35">
      <c r="Z46" s="42">
        <v>0.45</v>
      </c>
      <c r="AA46" s="42" t="s">
        <v>170</v>
      </c>
      <c r="AB46" s="19"/>
    </row>
    <row r="47" spans="11:28" x14ac:dyDescent="0.35">
      <c r="Z47" s="42">
        <v>0.46</v>
      </c>
      <c r="AA47" s="42" t="s">
        <v>170</v>
      </c>
      <c r="AB47" s="19"/>
    </row>
    <row r="48" spans="11:28" x14ac:dyDescent="0.35">
      <c r="Z48" s="42">
        <v>0.47</v>
      </c>
      <c r="AA48" s="42" t="s">
        <v>179</v>
      </c>
      <c r="AB48" s="19"/>
    </row>
    <row r="49" spans="26:28" x14ac:dyDescent="0.35">
      <c r="Z49" s="42">
        <v>0.48</v>
      </c>
      <c r="AA49" s="42" t="s">
        <v>179</v>
      </c>
      <c r="AB49" s="19"/>
    </row>
    <row r="50" spans="26:28" x14ac:dyDescent="0.35">
      <c r="Z50" s="42">
        <v>0.49</v>
      </c>
      <c r="AA50" s="42" t="s">
        <v>179</v>
      </c>
      <c r="AB50" s="19"/>
    </row>
    <row r="51" spans="26:28" x14ac:dyDescent="0.35">
      <c r="Z51" s="42">
        <v>0.5</v>
      </c>
      <c r="AA51" s="42" t="s">
        <v>163</v>
      </c>
      <c r="AB51" s="19"/>
    </row>
    <row r="52" spans="26:28" x14ac:dyDescent="0.35">
      <c r="Z52" s="42">
        <v>0.51</v>
      </c>
      <c r="AA52" s="42" t="s">
        <v>179</v>
      </c>
      <c r="AB52" s="19"/>
    </row>
    <row r="53" spans="26:28" x14ac:dyDescent="0.35">
      <c r="Z53" s="42">
        <v>0.52</v>
      </c>
      <c r="AA53" s="42" t="s">
        <v>179</v>
      </c>
      <c r="AB53" s="44"/>
    </row>
    <row r="54" spans="26:28" x14ac:dyDescent="0.35">
      <c r="Z54" s="42">
        <v>0.53</v>
      </c>
      <c r="AA54" s="42" t="s">
        <v>189</v>
      </c>
      <c r="AB54" s="19"/>
    </row>
    <row r="55" spans="26:28" x14ac:dyDescent="0.35">
      <c r="Z55" s="42">
        <v>0.54</v>
      </c>
      <c r="AA55" s="42" t="s">
        <v>189</v>
      </c>
      <c r="AB55" s="19"/>
    </row>
    <row r="56" spans="26:28" x14ac:dyDescent="0.35">
      <c r="Z56" s="42">
        <v>0.55000000000000004</v>
      </c>
      <c r="AA56" s="42" t="s">
        <v>232</v>
      </c>
      <c r="AB56" s="19"/>
    </row>
    <row r="57" spans="26:28" x14ac:dyDescent="0.35">
      <c r="Z57" s="42">
        <v>0.56000000000000005</v>
      </c>
      <c r="AA57" s="42" t="s">
        <v>232</v>
      </c>
      <c r="AB57" s="19"/>
    </row>
    <row r="58" spans="26:28" x14ac:dyDescent="0.35">
      <c r="Z58" s="42">
        <v>0.56999999999999995</v>
      </c>
      <c r="AA58" s="42" t="s">
        <v>232</v>
      </c>
      <c r="AB58" s="19"/>
    </row>
    <row r="59" spans="26:28" x14ac:dyDescent="0.35">
      <c r="Z59" s="42">
        <v>0.57999999999999996</v>
      </c>
      <c r="AA59" s="42" t="s">
        <v>180</v>
      </c>
      <c r="AB59" s="19"/>
    </row>
    <row r="60" spans="26:28" x14ac:dyDescent="0.35">
      <c r="Z60" s="42">
        <v>0.59</v>
      </c>
      <c r="AA60" s="42" t="s">
        <v>180</v>
      </c>
      <c r="AB60" s="19"/>
    </row>
    <row r="61" spans="26:28" x14ac:dyDescent="0.35">
      <c r="Z61" s="42">
        <v>0.6</v>
      </c>
      <c r="AA61" s="42" t="s">
        <v>164</v>
      </c>
      <c r="AB61" s="19"/>
    </row>
    <row r="62" spans="26:28" x14ac:dyDescent="0.35">
      <c r="Z62" s="42">
        <v>0.61</v>
      </c>
      <c r="AA62" s="42" t="s">
        <v>180</v>
      </c>
      <c r="AB62" s="19"/>
    </row>
    <row r="63" spans="26:28" x14ac:dyDescent="0.35">
      <c r="Z63" s="42">
        <v>0.62</v>
      </c>
      <c r="AA63" s="42" t="s">
        <v>180</v>
      </c>
      <c r="AB63" s="44"/>
    </row>
    <row r="64" spans="26:28" x14ac:dyDescent="0.35">
      <c r="Z64" s="42">
        <v>0.63</v>
      </c>
      <c r="AA64" s="42" t="s">
        <v>190</v>
      </c>
      <c r="AB64" s="19"/>
    </row>
    <row r="65" spans="26:28" x14ac:dyDescent="0.35">
      <c r="Z65" s="42">
        <v>0.64</v>
      </c>
      <c r="AA65" s="42" t="s">
        <v>190</v>
      </c>
      <c r="AB65" s="19"/>
    </row>
    <row r="66" spans="26:28" x14ac:dyDescent="0.35">
      <c r="Z66" s="42">
        <v>0.65</v>
      </c>
      <c r="AA66" s="42" t="s">
        <v>171</v>
      </c>
      <c r="AB66" s="19"/>
    </row>
    <row r="67" spans="26:28" x14ac:dyDescent="0.35">
      <c r="Z67" s="42">
        <v>0.66</v>
      </c>
      <c r="AA67" s="42" t="s">
        <v>171</v>
      </c>
      <c r="AB67" s="19"/>
    </row>
    <row r="68" spans="26:28" x14ac:dyDescent="0.35">
      <c r="Z68" s="42">
        <v>0.67</v>
      </c>
      <c r="AA68" s="42" t="s">
        <v>171</v>
      </c>
      <c r="AB68" s="19"/>
    </row>
    <row r="69" spans="26:28" x14ac:dyDescent="0.35">
      <c r="Z69" s="42">
        <v>0.68</v>
      </c>
      <c r="AA69" s="42" t="s">
        <v>181</v>
      </c>
      <c r="AB69" s="44"/>
    </row>
    <row r="70" spans="26:28" x14ac:dyDescent="0.35">
      <c r="Z70" s="42">
        <v>0.69</v>
      </c>
      <c r="AA70" s="42" t="s">
        <v>181</v>
      </c>
      <c r="AB70" s="19"/>
    </row>
    <row r="71" spans="26:28" x14ac:dyDescent="0.35">
      <c r="Z71" s="42">
        <v>0.7</v>
      </c>
      <c r="AA71" s="42" t="s">
        <v>165</v>
      </c>
      <c r="AB71" s="19"/>
    </row>
    <row r="72" spans="26:28" x14ac:dyDescent="0.35">
      <c r="Z72" s="42">
        <v>0.71</v>
      </c>
      <c r="AA72" s="42" t="s">
        <v>181</v>
      </c>
      <c r="AB72" s="19"/>
    </row>
    <row r="73" spans="26:28" x14ac:dyDescent="0.35">
      <c r="Z73" s="42">
        <v>0.72</v>
      </c>
      <c r="AA73" s="42" t="s">
        <v>181</v>
      </c>
      <c r="AB73" s="44"/>
    </row>
    <row r="74" spans="26:28" x14ac:dyDescent="0.35">
      <c r="Z74" s="42">
        <v>0.73</v>
      </c>
      <c r="AA74" s="42" t="s">
        <v>191</v>
      </c>
      <c r="AB74" s="19"/>
    </row>
    <row r="75" spans="26:28" x14ac:dyDescent="0.35">
      <c r="Z75" s="42">
        <v>0.74</v>
      </c>
      <c r="AA75" s="42" t="s">
        <v>191</v>
      </c>
      <c r="AB75" s="19"/>
    </row>
    <row r="76" spans="26:28" x14ac:dyDescent="0.35">
      <c r="Z76" s="42">
        <v>0.75</v>
      </c>
      <c r="AA76" s="42" t="s">
        <v>172</v>
      </c>
      <c r="AB76" s="19"/>
    </row>
    <row r="77" spans="26:28" x14ac:dyDescent="0.35">
      <c r="Z77" s="42">
        <v>0.76</v>
      </c>
      <c r="AA77" s="42" t="s">
        <v>172</v>
      </c>
      <c r="AB77" s="19"/>
    </row>
    <row r="78" spans="26:28" x14ac:dyDescent="0.35">
      <c r="Z78" s="42">
        <v>0.77</v>
      </c>
      <c r="AA78" s="42" t="s">
        <v>172</v>
      </c>
      <c r="AB78" s="44"/>
    </row>
    <row r="79" spans="26:28" x14ac:dyDescent="0.35">
      <c r="Z79" s="42">
        <v>0.78</v>
      </c>
      <c r="AA79" s="42" t="s">
        <v>182</v>
      </c>
      <c r="AB79" s="19"/>
    </row>
    <row r="80" spans="26:28" x14ac:dyDescent="0.35">
      <c r="Z80" s="42">
        <v>0.79</v>
      </c>
      <c r="AA80" s="42" t="s">
        <v>182</v>
      </c>
      <c r="AB80" s="19"/>
    </row>
    <row r="81" spans="26:28" x14ac:dyDescent="0.35">
      <c r="Z81" s="42">
        <v>0.8</v>
      </c>
      <c r="AA81" s="42" t="s">
        <v>166</v>
      </c>
      <c r="AB81" s="19"/>
    </row>
    <row r="82" spans="26:28" x14ac:dyDescent="0.35">
      <c r="Z82" s="42">
        <v>0.81</v>
      </c>
      <c r="AA82" s="42" t="s">
        <v>182</v>
      </c>
      <c r="AB82" s="19"/>
    </row>
    <row r="83" spans="26:28" x14ac:dyDescent="0.35">
      <c r="Z83" s="42">
        <v>0.82</v>
      </c>
      <c r="AA83" s="42" t="s">
        <v>182</v>
      </c>
      <c r="AB83" s="44"/>
    </row>
    <row r="84" spans="26:28" x14ac:dyDescent="0.35">
      <c r="Z84" s="42">
        <v>0.83</v>
      </c>
      <c r="AA84" s="42" t="s">
        <v>192</v>
      </c>
      <c r="AB84" s="19"/>
    </row>
    <row r="85" spans="26:28" x14ac:dyDescent="0.35">
      <c r="Z85" s="42">
        <v>0.84</v>
      </c>
      <c r="AA85" s="42" t="s">
        <v>192</v>
      </c>
      <c r="AB85" s="19"/>
    </row>
    <row r="86" spans="26:28" x14ac:dyDescent="0.35">
      <c r="Z86" s="42">
        <v>0.85</v>
      </c>
      <c r="AA86" s="42" t="s">
        <v>173</v>
      </c>
      <c r="AB86" s="19"/>
    </row>
    <row r="87" spans="26:28" x14ac:dyDescent="0.35">
      <c r="Z87" s="42">
        <v>0.86</v>
      </c>
      <c r="AA87" s="42" t="s">
        <v>173</v>
      </c>
      <c r="AB87" s="19"/>
    </row>
    <row r="88" spans="26:28" x14ac:dyDescent="0.35">
      <c r="Z88" s="42">
        <v>0.87</v>
      </c>
      <c r="AA88" s="42" t="s">
        <v>173</v>
      </c>
      <c r="AB88" s="19"/>
    </row>
    <row r="89" spans="26:28" x14ac:dyDescent="0.35">
      <c r="Z89" s="42">
        <v>0.88</v>
      </c>
      <c r="AA89" s="42" t="s">
        <v>183</v>
      </c>
      <c r="AB89" s="19"/>
    </row>
    <row r="90" spans="26:28" x14ac:dyDescent="0.35">
      <c r="Z90" s="42">
        <v>0.89</v>
      </c>
      <c r="AA90" s="42" t="s">
        <v>183</v>
      </c>
      <c r="AB90" s="19"/>
    </row>
    <row r="91" spans="26:28" x14ac:dyDescent="0.35">
      <c r="Z91" s="42">
        <v>0.9</v>
      </c>
      <c r="AA91" s="42" t="s">
        <v>167</v>
      </c>
      <c r="AB91" s="19"/>
    </row>
    <row r="92" spans="26:28" x14ac:dyDescent="0.35">
      <c r="Z92" s="42">
        <v>0.91</v>
      </c>
      <c r="AA92" s="42" t="s">
        <v>183</v>
      </c>
      <c r="AB92" s="19"/>
    </row>
    <row r="93" spans="26:28" x14ac:dyDescent="0.35">
      <c r="Z93" s="42">
        <v>0.92</v>
      </c>
      <c r="AA93" s="42" t="s">
        <v>183</v>
      </c>
      <c r="AB93" s="44"/>
    </row>
    <row r="94" spans="26:28" x14ac:dyDescent="0.35">
      <c r="Z94" s="42">
        <v>0.93</v>
      </c>
      <c r="AA94" s="42" t="s">
        <v>193</v>
      </c>
      <c r="AB94" s="19"/>
    </row>
    <row r="95" spans="26:28" x14ac:dyDescent="0.35">
      <c r="Z95" s="42">
        <v>0.94</v>
      </c>
      <c r="AA95" s="42" t="s">
        <v>193</v>
      </c>
      <c r="AB95" s="19"/>
    </row>
    <row r="96" spans="26:28" x14ac:dyDescent="0.35">
      <c r="Z96" s="42">
        <v>0.95</v>
      </c>
      <c r="AA96" s="42" t="s">
        <v>174</v>
      </c>
      <c r="AB96" s="19"/>
    </row>
    <row r="97" spans="26:28" x14ac:dyDescent="0.35">
      <c r="Z97" s="42">
        <v>0.96</v>
      </c>
      <c r="AA97" s="42" t="s">
        <v>174</v>
      </c>
      <c r="AB97" s="19"/>
    </row>
    <row r="98" spans="26:28" x14ac:dyDescent="0.35">
      <c r="Z98" s="42">
        <v>0.97</v>
      </c>
      <c r="AA98" s="42" t="s">
        <v>174</v>
      </c>
      <c r="AB98" s="19"/>
    </row>
    <row r="99" spans="26:28" x14ac:dyDescent="0.35">
      <c r="Z99" s="42">
        <v>0.98</v>
      </c>
      <c r="AA99" s="42" t="s">
        <v>184</v>
      </c>
      <c r="AB99" s="19"/>
    </row>
    <row r="100" spans="26:28" x14ac:dyDescent="0.35">
      <c r="Z100" s="42">
        <v>0.99</v>
      </c>
      <c r="AA100" s="42" t="s">
        <v>184</v>
      </c>
      <c r="AB100" s="19"/>
    </row>
    <row r="101" spans="26:28" x14ac:dyDescent="0.35">
      <c r="Z101" s="42">
        <v>1</v>
      </c>
      <c r="AA101" s="42" t="s">
        <v>194</v>
      </c>
      <c r="AB101" s="19"/>
    </row>
    <row r="102" spans="26:28" x14ac:dyDescent="0.35">
      <c r="AB102" s="19"/>
    </row>
    <row r="103" spans="26:28" x14ac:dyDescent="0.35">
      <c r="AB103" s="44"/>
    </row>
  </sheetData>
  <sheetProtection sheet="1" objects="1" scenarios="1"/>
  <mergeCells count="4">
    <mergeCell ref="G1:I1"/>
    <mergeCell ref="K1:O1"/>
    <mergeCell ref="Q1:U1"/>
    <mergeCell ref="W1:X1"/>
  </mergeCells>
  <dataValidations count="5">
    <dataValidation type="list" allowBlank="1" showInputMessage="1" showErrorMessage="1" sqref="B4" xr:uid="{00000000-0002-0000-0200-000000000000}">
      <formula1>$K$3:$K$7</formula1>
    </dataValidation>
    <dataValidation type="list" allowBlank="1" showInputMessage="1" showErrorMessage="1" sqref="B5" xr:uid="{00000000-0002-0000-0200-000001000000}">
      <formula1>$L$3:$L$5</formula1>
    </dataValidation>
    <dataValidation type="list" allowBlank="1" showInputMessage="1" showErrorMessage="1" sqref="B8" xr:uid="{00000000-0002-0000-0200-000002000000}">
      <formula1>$O$3:$O$4</formula1>
    </dataValidation>
    <dataValidation type="list" allowBlank="1" showInputMessage="1" showErrorMessage="1" sqref="B6" xr:uid="{00000000-0002-0000-0200-000003000000}">
      <formula1>$M$3:$M$33</formula1>
    </dataValidation>
    <dataValidation type="list" allowBlank="1" showInputMessage="1" showErrorMessage="1" sqref="B7" xr:uid="{00000000-0002-0000-0200-000004000000}">
      <formula1>$N$3:$N$16</formula1>
    </dataValidation>
  </dataValidation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5"/>
  <sheetViews>
    <sheetView showGridLines="0" workbookViewId="0"/>
  </sheetViews>
  <sheetFormatPr defaultRowHeight="14.5" x14ac:dyDescent="0.35"/>
  <sheetData>
    <row r="1" spans="1:1" ht="21" x14ac:dyDescent="0.5">
      <c r="A1" s="26" t="s">
        <v>57</v>
      </c>
    </row>
    <row r="2" spans="1:1" ht="21" x14ac:dyDescent="0.5">
      <c r="A2" s="26" t="s">
        <v>58</v>
      </c>
    </row>
    <row r="3" spans="1:1" ht="18" customHeight="1" x14ac:dyDescent="0.5">
      <c r="A3" s="26"/>
    </row>
    <row r="4" spans="1:1" ht="16.5" x14ac:dyDescent="0.35">
      <c r="A4" s="30" t="s">
        <v>59</v>
      </c>
    </row>
    <row r="6" spans="1:1" x14ac:dyDescent="0.35">
      <c r="A6" s="28" t="s">
        <v>61</v>
      </c>
    </row>
    <row r="7" spans="1:1" x14ac:dyDescent="0.35">
      <c r="A7" s="28" t="s">
        <v>62</v>
      </c>
    </row>
    <row r="8" spans="1:1" x14ac:dyDescent="0.35">
      <c r="A8" s="28" t="s">
        <v>63</v>
      </c>
    </row>
    <row r="9" spans="1:1" x14ac:dyDescent="0.35">
      <c r="A9" s="29" t="s">
        <v>64</v>
      </c>
    </row>
    <row r="10" spans="1:1" x14ac:dyDescent="0.35">
      <c r="A10" s="28" t="s">
        <v>65</v>
      </c>
    </row>
    <row r="11" spans="1:1" x14ac:dyDescent="0.35">
      <c r="A11" s="28" t="s">
        <v>66</v>
      </c>
    </row>
    <row r="12" spans="1:1" x14ac:dyDescent="0.35">
      <c r="A12" s="28"/>
    </row>
    <row r="13" spans="1:1" x14ac:dyDescent="0.35">
      <c r="A13" s="28" t="s">
        <v>60</v>
      </c>
    </row>
    <row r="15" spans="1:1" x14ac:dyDescent="0.35">
      <c r="A15" s="27" t="s">
        <v>67</v>
      </c>
    </row>
  </sheetData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60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6" sqref="A16"/>
    </sheetView>
  </sheetViews>
  <sheetFormatPr defaultRowHeight="14.5" x14ac:dyDescent="0.35"/>
  <cols>
    <col min="1" max="1" width="26.54296875" customWidth="1"/>
    <col min="2" max="2" width="10.81640625" bestFit="1" customWidth="1"/>
    <col min="62" max="62" width="12.26953125" bestFit="1" customWidth="1"/>
    <col min="63" max="63" width="10.453125" customWidth="1"/>
  </cols>
  <sheetData>
    <row r="1" spans="1:63" s="15" customFormat="1" ht="63" customHeight="1" x14ac:dyDescent="0.35">
      <c r="A1" s="1" t="s">
        <v>0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45"/>
      <c r="BK2" s="23"/>
    </row>
    <row r="3" spans="1:63" x14ac:dyDescent="0.35">
      <c r="A3" s="2" t="s">
        <v>5</v>
      </c>
      <c r="B3" s="65">
        <v>2689</v>
      </c>
      <c r="C3" s="65"/>
      <c r="D3" s="65">
        <v>119</v>
      </c>
      <c r="E3" s="65"/>
      <c r="F3" s="65">
        <v>1798</v>
      </c>
      <c r="G3" s="65"/>
      <c r="H3" s="65">
        <v>5036</v>
      </c>
      <c r="I3" s="65"/>
      <c r="J3" s="65">
        <v>3565</v>
      </c>
      <c r="K3" s="65"/>
      <c r="L3" s="65">
        <v>19178</v>
      </c>
      <c r="M3" s="65"/>
      <c r="N3" s="65">
        <v>403</v>
      </c>
      <c r="O3" s="65"/>
      <c r="P3" s="65">
        <v>2977</v>
      </c>
      <c r="Q3" s="65"/>
      <c r="R3" s="65">
        <v>4175</v>
      </c>
      <c r="S3" s="65"/>
      <c r="T3" s="65">
        <v>247</v>
      </c>
      <c r="U3" s="65"/>
      <c r="V3" s="65">
        <v>1525</v>
      </c>
      <c r="W3" s="65"/>
      <c r="X3" s="65">
        <v>20000</v>
      </c>
      <c r="Y3" s="65"/>
      <c r="Z3" s="65">
        <v>1954</v>
      </c>
      <c r="AA3" s="65"/>
      <c r="AB3" s="65">
        <v>6657</v>
      </c>
      <c r="AC3" s="65"/>
      <c r="AD3" s="65">
        <v>125</v>
      </c>
      <c r="AE3" s="65"/>
      <c r="AF3" s="65">
        <v>319</v>
      </c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519</v>
      </c>
      <c r="AS3" s="65"/>
      <c r="AT3" s="65">
        <v>6152</v>
      </c>
      <c r="AU3" s="65"/>
      <c r="AV3" s="65">
        <v>6446</v>
      </c>
      <c r="AW3" s="65"/>
      <c r="AX3" s="65">
        <v>821</v>
      </c>
      <c r="AY3" s="65"/>
      <c r="AZ3" s="65">
        <v>2686</v>
      </c>
      <c r="BA3" s="65"/>
      <c r="BB3" s="65">
        <v>1033</v>
      </c>
      <c r="BC3" s="65"/>
      <c r="BD3" s="65">
        <v>3565</v>
      </c>
      <c r="BE3" s="65"/>
      <c r="BF3" s="65">
        <v>4998</v>
      </c>
      <c r="BG3" s="65"/>
      <c r="BH3" s="65">
        <v>4502</v>
      </c>
      <c r="BI3" s="65"/>
      <c r="BJ3" s="65">
        <v>152891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0.17442699171594525</v>
      </c>
      <c r="C5" s="8">
        <v>469.03418072417679</v>
      </c>
      <c r="D5" s="7">
        <v>0.25929381680998215</v>
      </c>
      <c r="E5" s="8">
        <v>30.855964200387877</v>
      </c>
      <c r="F5" s="7">
        <v>0.37434569940191514</v>
      </c>
      <c r="G5" s="8">
        <v>673.07356752464341</v>
      </c>
      <c r="H5" s="7">
        <v>0.33801447883088703</v>
      </c>
      <c r="I5" s="8">
        <v>1702.240915392347</v>
      </c>
      <c r="J5" s="7">
        <v>0.2085564722752643</v>
      </c>
      <c r="K5" s="8">
        <v>743.50382366131726</v>
      </c>
      <c r="L5" s="7">
        <v>7.8298411714373226E-2</v>
      </c>
      <c r="M5" s="8">
        <v>715.78625525481584</v>
      </c>
      <c r="N5" s="7"/>
      <c r="O5" s="8"/>
      <c r="P5" s="7">
        <v>0.24043878241680075</v>
      </c>
      <c r="Q5" s="8">
        <v>715.78625525481584</v>
      </c>
      <c r="R5" s="7">
        <v>0.23089208626216245</v>
      </c>
      <c r="S5" s="8">
        <v>963.97446014452828</v>
      </c>
      <c r="T5" s="7"/>
      <c r="U5" s="8"/>
      <c r="V5" s="7">
        <v>0.641514853015964</v>
      </c>
      <c r="W5" s="8">
        <v>978.31015084934506</v>
      </c>
      <c r="X5" s="7">
        <v>0.73861134080333102</v>
      </c>
      <c r="Y5" s="8">
        <v>14772.226816066621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0.45675639570188442</v>
      </c>
      <c r="AU5" s="8">
        <v>2809.965346357993</v>
      </c>
      <c r="AV5" s="7">
        <v>0.13800468879268868</v>
      </c>
      <c r="AW5" s="8">
        <v>889.57822395767118</v>
      </c>
      <c r="AX5" s="7"/>
      <c r="AY5" s="8"/>
      <c r="AZ5" s="7"/>
      <c r="BA5" s="8"/>
      <c r="BB5" s="7"/>
      <c r="BC5" s="8"/>
      <c r="BD5" s="7"/>
      <c r="BE5" s="8"/>
      <c r="BF5" s="7">
        <v>2.5006075089351307E-2</v>
      </c>
      <c r="BG5" s="8">
        <v>124.98036329657783</v>
      </c>
      <c r="BH5" s="7"/>
      <c r="BI5" s="8"/>
      <c r="BJ5" s="7">
        <v>0.17250941525196822</v>
      </c>
      <c r="BK5" s="8">
        <v>26375.137007288675</v>
      </c>
    </row>
    <row r="6" spans="1:63" x14ac:dyDescent="0.35">
      <c r="A6" s="6" t="s">
        <v>10</v>
      </c>
      <c r="B6" s="7">
        <v>0.42102221358932379</v>
      </c>
      <c r="C6" s="8">
        <v>1132.1287323416916</v>
      </c>
      <c r="D6" s="7"/>
      <c r="E6" s="8"/>
      <c r="F6" s="7">
        <v>0.43145099439717433</v>
      </c>
      <c r="G6" s="8">
        <v>775.74888792611944</v>
      </c>
      <c r="H6" s="7">
        <v>0.1044953674989723</v>
      </c>
      <c r="I6" s="8">
        <v>526.23867072482449</v>
      </c>
      <c r="J6" s="7"/>
      <c r="K6" s="8"/>
      <c r="L6" s="7">
        <v>7.9829061559125572E-2</v>
      </c>
      <c r="M6" s="8">
        <v>1530.9617425809101</v>
      </c>
      <c r="N6" s="7"/>
      <c r="O6" s="8"/>
      <c r="P6" s="7">
        <v>0.10358174863219158</v>
      </c>
      <c r="Q6" s="8">
        <v>308.36286567803432</v>
      </c>
      <c r="R6" s="7"/>
      <c r="S6" s="8"/>
      <c r="T6" s="7"/>
      <c r="U6" s="8"/>
      <c r="V6" s="7">
        <v>0.23633137007098293</v>
      </c>
      <c r="W6" s="8">
        <v>360.40533935824897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3.0308168817064635E-2</v>
      </c>
      <c r="BK6" s="8">
        <v>4633.846238609829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0.16144909446084743</v>
      </c>
      <c r="M7" s="10">
        <v>3096.2707335701321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2.0251491151016945E-2</v>
      </c>
      <c r="BK7" s="10">
        <v>3096.2707335701321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0.24573743988998248</v>
      </c>
      <c r="M8" s="10">
        <v>4712.7526222100842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3.0824264490454535E-2</v>
      </c>
      <c r="BK8" s="10">
        <v>4712.7526222100842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0.31584466044272963</v>
      </c>
      <c r="I9" s="10">
        <v>1590.5937099895864</v>
      </c>
      <c r="J9" s="9">
        <v>7.0768494735902243E-2</v>
      </c>
      <c r="K9" s="10">
        <v>252.28968373349147</v>
      </c>
      <c r="L9" s="9">
        <v>0.152986852267119</v>
      </c>
      <c r="M9" s="10">
        <v>2933.9818527788079</v>
      </c>
      <c r="N9" s="9"/>
      <c r="O9" s="10"/>
      <c r="P9" s="9">
        <v>0.2343978876933302</v>
      </c>
      <c r="Q9" s="10">
        <v>697.80251166304402</v>
      </c>
      <c r="R9" s="9">
        <v>0.14015755928062656</v>
      </c>
      <c r="S9" s="10">
        <v>585.15780999661592</v>
      </c>
      <c r="T9" s="9">
        <v>0.12469197785951593</v>
      </c>
      <c r="U9" s="10">
        <v>30.798918531300433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0.21206859383049084</v>
      </c>
      <c r="AW9" s="10">
        <v>1366.994155831344</v>
      </c>
      <c r="AX9" s="9">
        <v>9.3694177451390553E-2</v>
      </c>
      <c r="AY9" s="10">
        <v>76.922919687591644</v>
      </c>
      <c r="AZ9" s="9">
        <v>0.15822174090032648</v>
      </c>
      <c r="BA9" s="10">
        <v>424.98359605827693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5.2060128838650133E-2</v>
      </c>
      <c r="BK9" s="10">
        <v>7959.5251582700575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4.1403006217591687E-2</v>
      </c>
      <c r="M10" s="10">
        <v>794.02685324097342</v>
      </c>
      <c r="N10" s="40"/>
      <c r="O10" s="4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5.1934178809803942E-3</v>
      </c>
      <c r="BK10" s="10">
        <v>794.02685324097342</v>
      </c>
    </row>
    <row r="11" spans="1:63" x14ac:dyDescent="0.35">
      <c r="A11" s="6" t="s">
        <v>12</v>
      </c>
      <c r="B11" s="7">
        <v>1.2800000000000001E-2</v>
      </c>
      <c r="C11" s="8">
        <v>34.419200000000004</v>
      </c>
      <c r="D11" s="7">
        <v>0.8</v>
      </c>
      <c r="E11" s="8">
        <v>95.2</v>
      </c>
      <c r="F11" s="7">
        <v>0.72399999999999998</v>
      </c>
      <c r="G11" s="8">
        <v>367.14</v>
      </c>
      <c r="H11" s="7"/>
      <c r="I11" s="8"/>
      <c r="J11" s="7">
        <v>0.38563890821319191</v>
      </c>
      <c r="K11" s="8">
        <v>1374.8027077800291</v>
      </c>
      <c r="L11" s="7"/>
      <c r="M11" s="8"/>
      <c r="N11" s="9">
        <v>0.88700000000000001</v>
      </c>
      <c r="O11" s="10">
        <v>357.46100000000001</v>
      </c>
      <c r="P11" s="7">
        <v>9.6410425065629968E-2</v>
      </c>
      <c r="Q11" s="8">
        <v>287.01383542038042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125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328.52699999999999</v>
      </c>
      <c r="AT11" s="7"/>
      <c r="AU11" s="8"/>
      <c r="AV11" s="7"/>
      <c r="AW11" s="8"/>
      <c r="AX11" s="7"/>
      <c r="AY11" s="8"/>
      <c r="AZ11" s="7"/>
      <c r="BA11" s="8"/>
      <c r="BB11" s="7">
        <v>0.40107454017424976</v>
      </c>
      <c r="BC11" s="8">
        <v>414.31</v>
      </c>
      <c r="BD11" s="7">
        <v>3.4179891174110189E-2</v>
      </c>
      <c r="BE11" s="8">
        <v>220.39193829066249</v>
      </c>
      <c r="BF11" s="7"/>
      <c r="BG11" s="8"/>
      <c r="BH11" s="7"/>
      <c r="BI11" s="8"/>
      <c r="BJ11" s="7">
        <v>2.9688290571642087E-2</v>
      </c>
      <c r="BK11" s="8">
        <v>4539.0724337889305</v>
      </c>
    </row>
    <row r="12" spans="1:63" x14ac:dyDescent="0.35">
      <c r="A12" s="6" t="s">
        <v>13</v>
      </c>
      <c r="B12" s="9">
        <v>1.437105540999073E-3</v>
      </c>
      <c r="C12" s="10">
        <v>3.8643767997465073</v>
      </c>
      <c r="D12" s="9"/>
      <c r="E12" s="10"/>
      <c r="F12" s="9"/>
      <c r="G12" s="10"/>
      <c r="H12" s="9">
        <v>3.4153886251632156E-3</v>
      </c>
      <c r="I12" s="10">
        <v>17.199897116321953</v>
      </c>
      <c r="J12" s="9">
        <v>4.2716209338112786E-3</v>
      </c>
      <c r="K12" s="10">
        <v>15.228328629037208</v>
      </c>
      <c r="L12" s="9">
        <v>1.1714867503470092E-2</v>
      </c>
      <c r="M12" s="10">
        <v>224.66772898154943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4.8495712259087664E-2</v>
      </c>
      <c r="Y12" s="10">
        <v>969.91424518175324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2.0982258861753294E-2</v>
      </c>
      <c r="AU12" s="10">
        <v>129.08285651750626</v>
      </c>
      <c r="AV12" s="9"/>
      <c r="AW12" s="10"/>
      <c r="AX12" s="9">
        <v>4.4553202099004673E-3</v>
      </c>
      <c r="AY12" s="10">
        <v>3.6578178923282838</v>
      </c>
      <c r="AZ12" s="9"/>
      <c r="BA12" s="10"/>
      <c r="BB12" s="9"/>
      <c r="BC12" s="10"/>
      <c r="BD12" s="9"/>
      <c r="BE12" s="10"/>
      <c r="BF12" s="9">
        <v>8.2443610907700957E-2</v>
      </c>
      <c r="BG12" s="10">
        <v>412.05316731668938</v>
      </c>
      <c r="BH12" s="9">
        <v>4.9525010561601857E-4</v>
      </c>
      <c r="BI12" s="10">
        <v>2.2296159754833154</v>
      </c>
      <c r="BJ12" s="9">
        <v>1.749516248583478E-2</v>
      </c>
      <c r="BK12" s="8">
        <v>2674.8528876217651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0.88618225441029774</v>
      </c>
      <c r="AC13" s="10">
        <v>5899.3152676093523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3.8585104863002741E-2</v>
      </c>
      <c r="BK13" s="10">
        <v>5899.3152676093523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0.71399999999999997</v>
      </c>
      <c r="F14" s="11"/>
      <c r="G14" s="17"/>
      <c r="H14" s="11">
        <v>3.3000000000000002E-2</v>
      </c>
      <c r="I14" s="17">
        <f>H14*H3</f>
        <v>166.18800000000002</v>
      </c>
      <c r="J14" s="11">
        <v>0.03</v>
      </c>
      <c r="K14" s="17">
        <f>J14*J3</f>
        <v>106.95</v>
      </c>
      <c r="L14" s="11"/>
      <c r="M14" s="12"/>
      <c r="N14" s="11"/>
      <c r="O14" s="12"/>
      <c r="P14" s="11">
        <v>3.0000000000000001E-3</v>
      </c>
      <c r="Q14" s="17">
        <f>P14*P3</f>
        <v>8.9310000000000009</v>
      </c>
      <c r="R14" s="11">
        <v>2.0000000000000001E-4</v>
      </c>
      <c r="S14" s="17">
        <f>R14*R3</f>
        <v>0.83500000000000008</v>
      </c>
      <c r="T14" s="11"/>
      <c r="U14" s="12"/>
      <c r="V14" s="11">
        <v>2.9000000000000001E-2</v>
      </c>
      <c r="W14" s="17">
        <f>V14*V3</f>
        <v>44.225000000000001</v>
      </c>
      <c r="X14" s="11">
        <v>0.20499999999999999</v>
      </c>
      <c r="Y14" s="17">
        <f>X14*X3</f>
        <v>4100</v>
      </c>
      <c r="Z14" s="11">
        <v>0.97</v>
      </c>
      <c r="AA14" s="17">
        <f>Z14*Z3</f>
        <v>1895.3799999999999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436.79199999999997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44.981999999999999</v>
      </c>
      <c r="BH14" s="11"/>
      <c r="BI14" s="12"/>
      <c r="BJ14" s="11">
        <v>4.8782967403909791E-2</v>
      </c>
      <c r="BK14" s="12">
        <v>7458.4766693511719</v>
      </c>
    </row>
    <row r="15" spans="1:63" x14ac:dyDescent="0.3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8.1810669360022001E-2</v>
      </c>
      <c r="Y15" s="8">
        <v>1636.2133872004399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1.0701829324161919E-2</v>
      </c>
      <c r="BK15" s="8">
        <v>1636.2133872004399</v>
      </c>
    </row>
    <row r="16" spans="1:63" ht="58" x14ac:dyDescent="0.3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47">
        <v>0.30921288428347526</v>
      </c>
      <c r="BK16" s="48">
        <v>47275.867090984815</v>
      </c>
    </row>
    <row r="17" spans="1:63" ht="43.5" x14ac:dyDescent="0.3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0.13169895978077883</v>
      </c>
      <c r="BK17" s="8">
        <v>20135.585659843058</v>
      </c>
    </row>
    <row r="18" spans="1:63" x14ac:dyDescent="0.35">
      <c r="A18" s="6" t="s">
        <v>204</v>
      </c>
      <c r="B18" s="13">
        <v>0.52880794633548778</v>
      </c>
      <c r="C18" s="14">
        <v>1421.9645676961266</v>
      </c>
      <c r="D18" s="13">
        <v>0.85274761078182437</v>
      </c>
      <c r="E18" s="14">
        <v>101.47696568303709</v>
      </c>
      <c r="F18" s="13">
        <v>0.90182262399409641</v>
      </c>
      <c r="G18" s="14">
        <v>1621.4770779413852</v>
      </c>
      <c r="H18" s="13">
        <v>0.60914857541017675</v>
      </c>
      <c r="I18" s="14">
        <v>3067.6722257656502</v>
      </c>
      <c r="J18" s="13">
        <v>0.56360458333251917</v>
      </c>
      <c r="K18" s="14">
        <v>2009.2503395804308</v>
      </c>
      <c r="L18" s="13">
        <v>0.56955337371133474</v>
      </c>
      <c r="M18" s="14">
        <v>10922.894601035978</v>
      </c>
      <c r="N18" s="13">
        <v>0.88700000000000001</v>
      </c>
      <c r="O18" s="14">
        <v>357.46100000000001</v>
      </c>
      <c r="P18" s="13">
        <v>0.53038391326051004</v>
      </c>
      <c r="Q18" s="14">
        <v>1578.9529097765385</v>
      </c>
      <c r="R18" s="13">
        <v>0.33882063660021733</v>
      </c>
      <c r="S18" s="14">
        <v>1414.5761578059073</v>
      </c>
      <c r="T18" s="13">
        <v>0.12469197785951591</v>
      </c>
      <c r="U18" s="14">
        <v>30.79891853130043</v>
      </c>
      <c r="V18" s="13">
        <v>0.7341752909231678</v>
      </c>
      <c r="W18" s="14">
        <v>1119.617318657831</v>
      </c>
      <c r="X18" s="13">
        <v>0.81844974580477414</v>
      </c>
      <c r="Y18" s="14">
        <v>16368.994916095482</v>
      </c>
      <c r="Z18" s="13">
        <v>0.97</v>
      </c>
      <c r="AA18" s="14">
        <v>1895.3799999999999</v>
      </c>
      <c r="AB18" s="13">
        <v>0.88618225441029774</v>
      </c>
      <c r="AC18" s="14">
        <v>5899.3152676093523</v>
      </c>
      <c r="AD18" s="13">
        <v>1</v>
      </c>
      <c r="AE18" s="14">
        <v>125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328.52699999999999</v>
      </c>
      <c r="AT18" s="13">
        <v>0.50591587760436896</v>
      </c>
      <c r="AU18" s="14">
        <v>3112.394479022078</v>
      </c>
      <c r="AV18" s="13">
        <v>0.32080682232889957</v>
      </c>
      <c r="AW18" s="14">
        <v>2067.9207767320868</v>
      </c>
      <c r="AX18" s="13">
        <v>9.7732060098941864E-2</v>
      </c>
      <c r="AY18" s="14">
        <v>80.238021341231274</v>
      </c>
      <c r="AZ18" s="13">
        <v>0.15822174090032648</v>
      </c>
      <c r="BA18" s="14">
        <v>424.98359605827693</v>
      </c>
      <c r="BB18" s="13">
        <v>0.40107454017424971</v>
      </c>
      <c r="BC18" s="14">
        <v>414.30999999999995</v>
      </c>
      <c r="BD18" s="13">
        <v>3.4179891174110244E-2</v>
      </c>
      <c r="BE18" s="14">
        <v>121.85131203570302</v>
      </c>
      <c r="BF18" s="13">
        <v>0.11343960201820846</v>
      </c>
      <c r="BG18" s="14">
        <v>566.97113088700587</v>
      </c>
      <c r="BH18" s="13">
        <v>4.9525010561601857E-4</v>
      </c>
      <c r="BI18" s="14">
        <v>2.2296159754833154</v>
      </c>
      <c r="BJ18" s="13">
        <v>0.38027784469219639</v>
      </c>
      <c r="BK18" s="14">
        <v>58141.059952834599</v>
      </c>
    </row>
    <row r="19" spans="1:63" s="15" customFormat="1" ht="63" customHeight="1" x14ac:dyDescent="0.35">
      <c r="A19" s="1" t="s">
        <v>0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1504</v>
      </c>
      <c r="C21" s="65"/>
      <c r="D21" s="65">
        <v>61</v>
      </c>
      <c r="E21" s="65"/>
      <c r="F21" s="65">
        <v>580</v>
      </c>
      <c r="G21" s="65"/>
      <c r="H21" s="65">
        <v>2400</v>
      </c>
      <c r="I21" s="65"/>
      <c r="J21" s="65">
        <v>1939</v>
      </c>
      <c r="K21" s="65"/>
      <c r="L21" s="65">
        <v>15551</v>
      </c>
      <c r="M21" s="65"/>
      <c r="N21" s="65">
        <v>853</v>
      </c>
      <c r="O21" s="65"/>
      <c r="P21" s="65">
        <v>1696</v>
      </c>
      <c r="Q21" s="65"/>
      <c r="R21" s="65">
        <v>4144</v>
      </c>
      <c r="S21" s="65"/>
      <c r="T21" s="65">
        <v>611</v>
      </c>
      <c r="U21" s="65"/>
      <c r="V21" s="65">
        <v>361</v>
      </c>
      <c r="W21" s="65"/>
      <c r="X21" s="65">
        <v>17620</v>
      </c>
      <c r="Y21" s="65"/>
      <c r="Z21" s="65">
        <v>389</v>
      </c>
      <c r="AA21" s="65"/>
      <c r="AB21" s="65">
        <v>6530</v>
      </c>
      <c r="AC21" s="65"/>
      <c r="AD21" s="65">
        <v>17</v>
      </c>
      <c r="AE21" s="65"/>
      <c r="AF21" s="65">
        <v>45730</v>
      </c>
      <c r="AG21" s="65"/>
      <c r="AH21" s="65">
        <v>1081</v>
      </c>
      <c r="AI21" s="65"/>
      <c r="AJ21" s="65">
        <v>197</v>
      </c>
      <c r="AK21" s="65"/>
      <c r="AL21" s="65">
        <v>2517</v>
      </c>
      <c r="AM21" s="65"/>
      <c r="AN21" s="65">
        <v>7449</v>
      </c>
      <c r="AO21" s="65"/>
      <c r="AP21" s="65">
        <v>5771</v>
      </c>
      <c r="AQ21" s="65"/>
      <c r="AR21" s="65" t="s">
        <v>6</v>
      </c>
      <c r="AS21" s="65"/>
      <c r="AT21" s="65">
        <v>2331</v>
      </c>
      <c r="AU21" s="65"/>
      <c r="AV21" s="65">
        <v>3891</v>
      </c>
      <c r="AW21" s="65"/>
      <c r="AX21" s="65">
        <v>2234</v>
      </c>
      <c r="AY21" s="65"/>
      <c r="AZ21" s="65">
        <v>1946</v>
      </c>
      <c r="BA21" s="65"/>
      <c r="BB21" s="65">
        <v>749</v>
      </c>
      <c r="BC21" s="65"/>
      <c r="BD21" s="65">
        <v>1939</v>
      </c>
      <c r="BE21" s="65"/>
      <c r="BF21" s="65">
        <v>3442</v>
      </c>
      <c r="BG21" s="65"/>
      <c r="BH21" s="65">
        <v>4771</v>
      </c>
      <c r="BI21" s="65"/>
      <c r="BJ21" s="65">
        <v>146862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0.15596233823379846</v>
      </c>
      <c r="C23" s="8">
        <v>234.5673567036329</v>
      </c>
      <c r="D23" s="7">
        <v>0.21323801743311546</v>
      </c>
      <c r="E23" s="8">
        <v>13.007519063420043</v>
      </c>
      <c r="F23" s="7">
        <v>0.35702121650407775</v>
      </c>
      <c r="G23" s="8">
        <v>207.07230557236508</v>
      </c>
      <c r="H23" s="7">
        <v>0.32775962777066797</v>
      </c>
      <c r="I23" s="8">
        <v>786.62310664960307</v>
      </c>
      <c r="J23" s="7">
        <v>3.3180872017722907E-2</v>
      </c>
      <c r="K23" s="8">
        <v>64.337710842364714</v>
      </c>
      <c r="L23" s="7">
        <v>5.5985361184358214E-2</v>
      </c>
      <c r="M23" s="8">
        <v>870.62835177795455</v>
      </c>
      <c r="N23" s="7"/>
      <c r="O23" s="8"/>
      <c r="P23" s="7">
        <v>0.12679793606080819</v>
      </c>
      <c r="Q23" s="8">
        <v>215.0492995591307</v>
      </c>
      <c r="R23" s="7">
        <v>0.19996939457600429</v>
      </c>
      <c r="S23" s="8">
        <v>828.67317112296178</v>
      </c>
      <c r="T23" s="7"/>
      <c r="U23" s="8"/>
      <c r="V23" s="7">
        <v>0.60815943029380626</v>
      </c>
      <c r="W23" s="8">
        <v>219.54555433606404</v>
      </c>
      <c r="X23" s="7">
        <v>0.69791415328196227</v>
      </c>
      <c r="Y23" s="8">
        <v>12297.247380828176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0.20312442738608735</v>
      </c>
      <c r="AM23" s="8">
        <v>511.26418373078184</v>
      </c>
      <c r="AN23" s="7"/>
      <c r="AO23" s="8"/>
      <c r="AP23" s="7">
        <v>2.8593919554086582E-3</v>
      </c>
      <c r="AQ23" s="8">
        <v>16.501550974663367</v>
      </c>
      <c r="AR23" s="7"/>
      <c r="AS23" s="8"/>
      <c r="AT23" s="7">
        <v>0.41052086459007964</v>
      </c>
      <c r="AU23" s="8">
        <v>956.9241353594756</v>
      </c>
      <c r="AV23" s="7">
        <v>0.10866488224140591</v>
      </c>
      <c r="AW23" s="8">
        <v>422.81505680131039</v>
      </c>
      <c r="AX23" s="7"/>
      <c r="AY23" s="8"/>
      <c r="AZ23" s="7"/>
      <c r="BA23" s="8"/>
      <c r="BB23" s="7"/>
      <c r="BC23" s="8"/>
      <c r="BD23" s="7"/>
      <c r="BE23" s="8"/>
      <c r="BF23" s="7">
        <v>2.7133467249042809E-2</v>
      </c>
      <c r="BG23" s="8">
        <v>93.393394271205352</v>
      </c>
      <c r="BH23" s="7"/>
      <c r="BI23" s="8"/>
      <c r="BJ23" s="7">
        <v>0.120777669360305</v>
      </c>
      <c r="BK23" s="8">
        <v>17737.650077593113</v>
      </c>
    </row>
    <row r="24" spans="1:63" x14ac:dyDescent="0.35">
      <c r="A24" s="6" t="s">
        <v>10</v>
      </c>
      <c r="B24" s="7">
        <v>0.20997990571843267</v>
      </c>
      <c r="C24" s="8">
        <v>315.80977820052271</v>
      </c>
      <c r="D24" s="7"/>
      <c r="E24" s="8"/>
      <c r="F24" s="7">
        <v>0.21328418585563472</v>
      </c>
      <c r="G24" s="8">
        <v>123.70482779626813</v>
      </c>
      <c r="H24" s="7">
        <v>0.16903835826850402</v>
      </c>
      <c r="I24" s="8">
        <v>405.69205984440964</v>
      </c>
      <c r="J24" s="7"/>
      <c r="K24" s="8"/>
      <c r="L24" s="7">
        <v>3.7455109344967742E-2</v>
      </c>
      <c r="M24" s="8">
        <v>582.46440542359335</v>
      </c>
      <c r="N24" s="7"/>
      <c r="O24" s="8"/>
      <c r="P24" s="7">
        <v>1.4585463629647856E-2</v>
      </c>
      <c r="Q24" s="8">
        <v>24.736946315882765</v>
      </c>
      <c r="R24" s="7"/>
      <c r="S24" s="8"/>
      <c r="T24" s="7"/>
      <c r="U24" s="8"/>
      <c r="V24" s="7">
        <v>0.1188622241612985</v>
      </c>
      <c r="W24" s="8">
        <v>42.909262922228763</v>
      </c>
      <c r="X24" s="7"/>
      <c r="Y24" s="8"/>
      <c r="Z24" s="7"/>
      <c r="AA24" s="8"/>
      <c r="AB24" s="7"/>
      <c r="AC24" s="8"/>
      <c r="AD24" s="7"/>
      <c r="AE24" s="8"/>
      <c r="AF24" s="7">
        <v>8.1062941968340879E-2</v>
      </c>
      <c r="AG24" s="8">
        <v>3707.0083362122286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3.5423224637517764E-2</v>
      </c>
      <c r="BK24" s="8">
        <v>5202.3256167151339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8.5512054363405768E-2</v>
      </c>
      <c r="M25" s="10">
        <v>1329.7979574053231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9.0547449810388196E-3</v>
      </c>
      <c r="BK25" s="10">
        <v>1329.7979574053231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0.31617986354292321</v>
      </c>
      <c r="M26" s="10">
        <v>4916.9130579559987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3.3479818182756596E-2</v>
      </c>
      <c r="BK26" s="10">
        <v>4916.9130579559987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0.16972553527957107</v>
      </c>
      <c r="I27" s="10">
        <v>407.34128467097059</v>
      </c>
      <c r="J27" s="9">
        <v>4.105813532209443E-2</v>
      </c>
      <c r="K27" s="10">
        <v>79.611724389541095</v>
      </c>
      <c r="L27" s="9">
        <v>6.8086809372938609E-2</v>
      </c>
      <c r="M27" s="10">
        <v>1058.8179725585683</v>
      </c>
      <c r="N27" s="9"/>
      <c r="O27" s="10"/>
      <c r="P27" s="9">
        <v>0.23050393949406794</v>
      </c>
      <c r="Q27" s="10">
        <v>390.93468138193924</v>
      </c>
      <c r="R27" s="9">
        <v>0.10576198581036893</v>
      </c>
      <c r="S27" s="10">
        <v>438.27766919816884</v>
      </c>
      <c r="T27" s="9">
        <v>0.22953173765164353</v>
      </c>
      <c r="U27" s="10">
        <v>140.2438917051542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8.3890752686142378E-2</v>
      </c>
      <c r="AG27" s="10">
        <v>3836.3241203372909</v>
      </c>
      <c r="AH27" s="9"/>
      <c r="AI27" s="10"/>
      <c r="AJ27" s="9"/>
      <c r="AK27" s="10"/>
      <c r="AL27" s="9"/>
      <c r="AM27" s="10"/>
      <c r="AN27" s="9">
        <v>0.34387146772248434</v>
      </c>
      <c r="AO27" s="10">
        <v>2561.4985630647857</v>
      </c>
      <c r="AP27" s="9">
        <v>7.1153379446561735E-2</v>
      </c>
      <c r="AQ27" s="10">
        <v>410.62615278610775</v>
      </c>
      <c r="AR27" s="9"/>
      <c r="AS27" s="10"/>
      <c r="AT27" s="9"/>
      <c r="AU27" s="10"/>
      <c r="AV27" s="9">
        <v>0.2830065217759955</v>
      </c>
      <c r="AW27" s="10">
        <v>1101.1783762303985</v>
      </c>
      <c r="AX27" s="9">
        <v>8.0564656503990389E-2</v>
      </c>
      <c r="AY27" s="10">
        <v>179.98144262991454</v>
      </c>
      <c r="AZ27" s="9">
        <v>0.1054412535272005</v>
      </c>
      <c r="BA27" s="10">
        <v>205.18867936393218</v>
      </c>
      <c r="BB27" s="9"/>
      <c r="BC27" s="10"/>
      <c r="BD27" s="9"/>
      <c r="BE27" s="10"/>
      <c r="BF27" s="9"/>
      <c r="BG27" s="10"/>
      <c r="BH27" s="9">
        <v>4.7369343218756244E-2</v>
      </c>
      <c r="BI27" s="10">
        <v>225.99913649668605</v>
      </c>
      <c r="BJ27" s="9">
        <v>7.5145535909993441E-2</v>
      </c>
      <c r="BK27" s="10">
        <v>11036.023694813457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5.149060973786148E-2</v>
      </c>
      <c r="M28" s="10">
        <v>800.73047203348392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5.4522645206621445E-3</v>
      </c>
      <c r="BK28" s="10">
        <v>800.73047203348392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1.9342564195569623E-2</v>
      </c>
      <c r="AG29" s="8">
        <v>884.53546066339879</v>
      </c>
      <c r="AH29" s="7"/>
      <c r="AI29" s="8"/>
      <c r="AJ29" s="7"/>
      <c r="AK29" s="8"/>
      <c r="AL29" s="7"/>
      <c r="AM29" s="8"/>
      <c r="AN29" s="7"/>
      <c r="AO29" s="8"/>
      <c r="AP29" s="7">
        <v>3.5378746659145276E-2</v>
      </c>
      <c r="AQ29" s="8">
        <v>204.17074696992739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7.4131239369838765E-3</v>
      </c>
      <c r="BK29" s="8">
        <v>1088.7062076333261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7.6143591225033697E-3</v>
      </c>
      <c r="AG30" s="10">
        <v>348.2046426720791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4.5396068609279451E-3</v>
      </c>
      <c r="BK30" s="8">
        <v>666.69574280959989</v>
      </c>
    </row>
    <row r="31" spans="1:63" x14ac:dyDescent="0.35">
      <c r="A31" s="6" t="s">
        <v>12</v>
      </c>
      <c r="B31" s="9">
        <v>1.2800000000000001E-2</v>
      </c>
      <c r="C31" s="10">
        <v>19.251200000000001</v>
      </c>
      <c r="D31" s="9">
        <v>0.8</v>
      </c>
      <c r="E31" s="10">
        <v>48.800000000000004</v>
      </c>
      <c r="F31" s="9">
        <v>0.63300000000000001</v>
      </c>
      <c r="G31" s="10">
        <v>367.14</v>
      </c>
      <c r="H31" s="9"/>
      <c r="I31" s="10"/>
      <c r="J31" s="9">
        <v>0.42670950927832718</v>
      </c>
      <c r="K31" s="10">
        <v>827.38973849067645</v>
      </c>
      <c r="L31" s="9"/>
      <c r="M31" s="10"/>
      <c r="N31" s="9">
        <v>0.92500000000000016</v>
      </c>
      <c r="O31" s="10">
        <v>789.02500000000009</v>
      </c>
      <c r="P31" s="9">
        <v>8.1948736835345412E-2</v>
      </c>
      <c r="Q31" s="10">
        <v>138.98505767274582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17</v>
      </c>
      <c r="AF31" s="9"/>
      <c r="AG31" s="10"/>
      <c r="AH31" s="9">
        <v>0.68799999999999994</v>
      </c>
      <c r="AI31" s="10">
        <v>743.72799999999995</v>
      </c>
      <c r="AJ31" s="9">
        <v>0.75</v>
      </c>
      <c r="AK31" s="10">
        <v>147.75</v>
      </c>
      <c r="AL31" s="9">
        <v>0.997</v>
      </c>
      <c r="AM31" s="10">
        <v>2509.4490000000001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0.40667556742323102</v>
      </c>
      <c r="BC31" s="10">
        <v>304.60000000000002</v>
      </c>
      <c r="BD31" s="9">
        <v>3.274956219184063E-2</v>
      </c>
      <c r="BE31" s="10">
        <v>169.38073565619973</v>
      </c>
      <c r="BF31" s="9"/>
      <c r="BG31" s="10"/>
      <c r="BH31" s="9"/>
      <c r="BI31" s="10"/>
      <c r="BJ31" s="9">
        <v>3.9783528580802516E-2</v>
      </c>
      <c r="BK31" s="10">
        <v>6082.5434682474779</v>
      </c>
    </row>
    <row r="32" spans="1:63" x14ac:dyDescent="0.35">
      <c r="A32" s="6" t="s">
        <v>13</v>
      </c>
      <c r="B32" s="7">
        <v>1.437105540999073E-3</v>
      </c>
      <c r="C32" s="8">
        <v>2.1614067336626057</v>
      </c>
      <c r="D32" s="7"/>
      <c r="E32" s="8"/>
      <c r="F32" s="7"/>
      <c r="G32" s="8"/>
      <c r="H32" s="7">
        <v>6.4153886251632156E-3</v>
      </c>
      <c r="I32" s="8">
        <v>15.396932700391718</v>
      </c>
      <c r="J32" s="7">
        <v>9.2716209338112778E-3</v>
      </c>
      <c r="K32" s="8">
        <v>17.977672990660068</v>
      </c>
      <c r="L32" s="7">
        <v>1.9759229700918299E-2</v>
      </c>
      <c r="M32" s="8">
        <v>307.27578107898046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5.1614572532150328E-2</v>
      </c>
      <c r="Y32" s="8">
        <v>909.44876801648877</v>
      </c>
      <c r="Z32" s="7"/>
      <c r="AA32" s="8"/>
      <c r="AB32" s="7"/>
      <c r="AC32" s="8"/>
      <c r="AD32" s="7"/>
      <c r="AE32" s="8"/>
      <c r="AF32" s="7">
        <v>1.4672749201005622E-2</v>
      </c>
      <c r="AG32" s="8">
        <v>670.98482096198711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1.7982258861753295E-2</v>
      </c>
      <c r="AU32" s="8">
        <v>41.91664540674693</v>
      </c>
      <c r="AV32" s="7"/>
      <c r="AW32" s="8"/>
      <c r="AX32" s="7">
        <v>8.4553202099004673E-3</v>
      </c>
      <c r="AY32" s="8">
        <v>22.710990083792655</v>
      </c>
      <c r="AZ32" s="7"/>
      <c r="BA32" s="8"/>
      <c r="BB32" s="7"/>
      <c r="BC32" s="8"/>
      <c r="BD32" s="7"/>
      <c r="BE32" s="8"/>
      <c r="BF32" s="7">
        <v>0.10034376003205855</v>
      </c>
      <c r="BG32" s="8">
        <v>345.38322203034556</v>
      </c>
      <c r="BH32" s="7">
        <v>4.9525010561601857E-4</v>
      </c>
      <c r="BI32" s="8">
        <v>2.3628382538940245</v>
      </c>
      <c r="BJ32" s="7">
        <v>2.130096301874488E-2</v>
      </c>
      <c r="BK32" s="8">
        <v>3128.3020308589107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0.84848897285045666</v>
      </c>
      <c r="AC33" s="8">
        <v>5540.6329927134821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3.7726797896756696E-2</v>
      </c>
      <c r="BK33" s="8">
        <v>5540.6329927134821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0.122</v>
      </c>
      <c r="F34" s="11"/>
      <c r="G34" s="17"/>
      <c r="H34" s="11">
        <v>1.0999999999999999E-2</v>
      </c>
      <c r="I34" s="17">
        <f>H34*H21</f>
        <v>26.4</v>
      </c>
      <c r="J34" s="11">
        <v>3.0000000000000001E-3</v>
      </c>
      <c r="K34" s="17">
        <f>J34*J21</f>
        <v>5.8170000000000002</v>
      </c>
      <c r="L34" s="11"/>
      <c r="M34" s="12"/>
      <c r="N34" s="11"/>
      <c r="O34" s="12"/>
      <c r="P34" s="11">
        <v>1E-3</v>
      </c>
      <c r="Q34" s="17">
        <f>P34*P21</f>
        <v>1.696</v>
      </c>
      <c r="R34" s="11"/>
      <c r="S34" s="17"/>
      <c r="T34" s="11"/>
      <c r="U34" s="12"/>
      <c r="V34" s="11">
        <v>1.6E-2</v>
      </c>
      <c r="W34" s="17">
        <f>V34*V21</f>
        <v>5.7759999999999998</v>
      </c>
      <c r="X34" s="11">
        <v>4.2999999999999997E-2</v>
      </c>
      <c r="Y34" s="17">
        <f>X34*X21</f>
        <v>757.66</v>
      </c>
      <c r="Z34" s="11">
        <v>0.82499999999999996</v>
      </c>
      <c r="AA34" s="17">
        <f>Z34*Z21</f>
        <v>320.92499999999995</v>
      </c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>
        <v>7.0000000000000001E-3</v>
      </c>
      <c r="AM34" s="17">
        <f>AL34*AL21</f>
        <v>17.619</v>
      </c>
      <c r="AN34" s="11"/>
      <c r="AO34" s="12"/>
      <c r="AP34" s="11">
        <v>5.0000000000000001E-3</v>
      </c>
      <c r="AQ34" s="17">
        <f>AP34*AP21</f>
        <v>28.855</v>
      </c>
      <c r="AR34" s="11"/>
      <c r="AS34" s="12"/>
      <c r="AT34" s="11">
        <v>1.9E-2</v>
      </c>
      <c r="AU34" s="17">
        <f>AT34*AT21</f>
        <v>44.289000000000001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17.21</v>
      </c>
      <c r="BH34" s="11"/>
      <c r="BI34" s="12"/>
      <c r="BJ34" s="11">
        <v>2.4021915767076792E-2</v>
      </c>
      <c r="BK34" s="12">
        <v>3527.9065933844317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8.1810669360022001E-2</v>
      </c>
      <c r="Y35" s="8">
        <v>1441.5039941235877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9.8153640432759176E-3</v>
      </c>
      <c r="BK35" s="8">
        <v>1441.5039941235877</v>
      </c>
    </row>
    <row r="36" spans="1:63" x14ac:dyDescent="0.3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4.6285556190044597E-2</v>
      </c>
      <c r="AG36" s="8">
        <v>2116.6384845707394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1.4412431293123744E-2</v>
      </c>
      <c r="BK36" s="8">
        <v>2116.6384845707394</v>
      </c>
    </row>
    <row r="37" spans="1:63" ht="58" x14ac:dyDescent="0.3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0.2810585525300795</v>
      </c>
      <c r="BK37" s="8">
        <v>41276.821141672532</v>
      </c>
    </row>
    <row r="38" spans="1:63" ht="43.5" x14ac:dyDescent="0.3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0.1502397333197566</v>
      </c>
      <c r="BK38" s="8">
        <v>22064.507714806092</v>
      </c>
    </row>
    <row r="39" spans="1:63" x14ac:dyDescent="0.35">
      <c r="A39" s="6" t="s">
        <v>204</v>
      </c>
      <c r="B39" s="13">
        <v>0.34267441854772529</v>
      </c>
      <c r="C39" s="14">
        <v>515.38232549577879</v>
      </c>
      <c r="D39" s="13">
        <v>0.84296230827964991</v>
      </c>
      <c r="E39" s="14">
        <v>51.420700805058644</v>
      </c>
      <c r="F39" s="13">
        <v>0.81435614119125388</v>
      </c>
      <c r="G39" s="14">
        <v>472.32656189092722</v>
      </c>
      <c r="H39" s="13">
        <v>0.54424819526339818</v>
      </c>
      <c r="I39" s="14">
        <v>1306.1956686321557</v>
      </c>
      <c r="J39" s="13">
        <v>0.47499672446967456</v>
      </c>
      <c r="K39" s="14">
        <v>921.018648746699</v>
      </c>
      <c r="L39" s="13">
        <v>0.50765509503274231</v>
      </c>
      <c r="M39" s="14">
        <v>7894.5443828541756</v>
      </c>
      <c r="N39" s="13">
        <v>0.92500000000000016</v>
      </c>
      <c r="O39" s="14">
        <v>789.02500000000009</v>
      </c>
      <c r="P39" s="13">
        <v>0.39274298627562976</v>
      </c>
      <c r="Q39" s="14">
        <v>666.09210472346808</v>
      </c>
      <c r="R39" s="13">
        <v>0.28458222011471779</v>
      </c>
      <c r="S39" s="14">
        <v>1179.3087201553906</v>
      </c>
      <c r="T39" s="13">
        <v>0.22953173765164347</v>
      </c>
      <c r="U39" s="14">
        <v>140.24389170515417</v>
      </c>
      <c r="V39" s="13">
        <v>0.6602587203749033</v>
      </c>
      <c r="W39" s="14">
        <v>238.35339805534008</v>
      </c>
      <c r="X39" s="13">
        <v>0.74825582514719358</v>
      </c>
      <c r="Y39" s="14">
        <v>13184.26763909355</v>
      </c>
      <c r="Z39" s="13">
        <v>0.82499999999999996</v>
      </c>
      <c r="AA39" s="14">
        <v>320.92499999999995</v>
      </c>
      <c r="AB39" s="13">
        <v>0.84848897285045666</v>
      </c>
      <c r="AC39" s="14">
        <v>5540.6329927134821</v>
      </c>
      <c r="AD39" s="13">
        <v>1</v>
      </c>
      <c r="AE39" s="14">
        <v>17</v>
      </c>
      <c r="AF39" s="13">
        <v>0.23010821755329014</v>
      </c>
      <c r="AG39" s="14">
        <v>10522.848788711957</v>
      </c>
      <c r="AH39" s="13">
        <v>0.68799999999999994</v>
      </c>
      <c r="AI39" s="14">
        <v>743.72799999999995</v>
      </c>
      <c r="AJ39" s="13">
        <v>0.75</v>
      </c>
      <c r="AK39" s="14">
        <v>147.75</v>
      </c>
      <c r="AL39" s="13">
        <v>0.99762610766918314</v>
      </c>
      <c r="AM39" s="14">
        <v>2511.0249130033339</v>
      </c>
      <c r="AN39" s="13">
        <v>0.34387146772248434</v>
      </c>
      <c r="AO39" s="14">
        <v>2561.4985630647857</v>
      </c>
      <c r="AP39" s="13">
        <v>0.11104389766059319</v>
      </c>
      <c r="AQ39" s="14">
        <v>640.83433339928331</v>
      </c>
      <c r="AR39" s="13">
        <v>0</v>
      </c>
      <c r="AS39" s="14" t="s">
        <v>68</v>
      </c>
      <c r="AT39" s="13">
        <v>0.43211973140768756</v>
      </c>
      <c r="AU39" s="14">
        <v>1007.2710939113197</v>
      </c>
      <c r="AV39" s="13">
        <v>0.36091853365506299</v>
      </c>
      <c r="AW39" s="14">
        <v>1404.3340144518502</v>
      </c>
      <c r="AX39" s="13">
        <v>8.8338776745548908E-2</v>
      </c>
      <c r="AY39" s="14">
        <v>197.34882724955625</v>
      </c>
      <c r="AZ39" s="13">
        <v>0.10544125352720046</v>
      </c>
      <c r="BA39" s="14">
        <v>205.1886793639321</v>
      </c>
      <c r="BB39" s="13">
        <v>0.40667556742323097</v>
      </c>
      <c r="BC39" s="14">
        <v>304.59999999999997</v>
      </c>
      <c r="BD39" s="13">
        <v>3.2749562191840664E-2</v>
      </c>
      <c r="BE39" s="14">
        <v>63.501401089979048</v>
      </c>
      <c r="BF39" s="13">
        <v>0.12913078038885262</v>
      </c>
      <c r="BG39" s="14">
        <v>444.46814609843074</v>
      </c>
      <c r="BH39" s="13">
        <v>4.7841133652140266E-2</v>
      </c>
      <c r="BI39" s="14">
        <v>228.25004865436122</v>
      </c>
      <c r="BJ39" s="13">
        <v>0.36414833303542427</v>
      </c>
      <c r="BK39" s="14">
        <v>53479.552486248482</v>
      </c>
    </row>
    <row r="40" spans="1:63" s="15" customFormat="1" ht="63" customHeight="1" x14ac:dyDescent="0.35">
      <c r="A40" s="1" t="s">
        <v>0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4193</v>
      </c>
      <c r="C42" s="65"/>
      <c r="D42" s="65">
        <v>180</v>
      </c>
      <c r="E42" s="65"/>
      <c r="F42" s="65">
        <v>2378</v>
      </c>
      <c r="G42" s="65"/>
      <c r="H42" s="65">
        <v>7436</v>
      </c>
      <c r="I42" s="65"/>
      <c r="J42" s="65">
        <v>5504</v>
      </c>
      <c r="K42" s="65"/>
      <c r="L42" s="65">
        <v>34729</v>
      </c>
      <c r="M42" s="65"/>
      <c r="N42" s="65">
        <v>1256</v>
      </c>
      <c r="O42" s="65"/>
      <c r="P42" s="65">
        <v>4673</v>
      </c>
      <c r="Q42" s="65"/>
      <c r="R42" s="65">
        <v>8319</v>
      </c>
      <c r="S42" s="65"/>
      <c r="T42" s="65">
        <v>858</v>
      </c>
      <c r="U42" s="65"/>
      <c r="V42" s="65">
        <v>1886</v>
      </c>
      <c r="W42" s="65"/>
      <c r="X42" s="65">
        <v>37620</v>
      </c>
      <c r="Y42" s="65"/>
      <c r="Z42" s="65">
        <v>2343</v>
      </c>
      <c r="AA42" s="65"/>
      <c r="AB42" s="65">
        <v>13187</v>
      </c>
      <c r="AC42" s="65"/>
      <c r="AD42" s="65">
        <v>142</v>
      </c>
      <c r="AE42" s="65"/>
      <c r="AF42" s="65">
        <v>46049</v>
      </c>
      <c r="AG42" s="65"/>
      <c r="AH42" s="65">
        <v>1081</v>
      </c>
      <c r="AI42" s="65"/>
      <c r="AJ42" s="65">
        <v>197</v>
      </c>
      <c r="AK42" s="65"/>
      <c r="AL42" s="65">
        <v>2517</v>
      </c>
      <c r="AM42" s="65"/>
      <c r="AN42" s="65">
        <v>7449</v>
      </c>
      <c r="AO42" s="65"/>
      <c r="AP42" s="65">
        <v>5771</v>
      </c>
      <c r="AQ42" s="65"/>
      <c r="AR42" s="65">
        <v>519</v>
      </c>
      <c r="AS42" s="65"/>
      <c r="AT42" s="65">
        <v>8483</v>
      </c>
      <c r="AU42" s="65"/>
      <c r="AV42" s="65">
        <v>10337</v>
      </c>
      <c r="AW42" s="65"/>
      <c r="AX42" s="65">
        <v>3055</v>
      </c>
      <c r="AY42" s="65"/>
      <c r="AZ42" s="65">
        <v>4632</v>
      </c>
      <c r="BA42" s="65"/>
      <c r="BB42" s="65">
        <v>1782</v>
      </c>
      <c r="BC42" s="65"/>
      <c r="BD42" s="65">
        <v>5504</v>
      </c>
      <c r="BE42" s="65"/>
      <c r="BF42" s="65">
        <v>8440</v>
      </c>
      <c r="BG42" s="65"/>
      <c r="BH42" s="65">
        <v>9273</v>
      </c>
      <c r="BI42" s="65"/>
      <c r="BJ42" s="65">
        <v>299753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0.16780384865914852</v>
      </c>
      <c r="C44" s="8">
        <v>703.60153742780972</v>
      </c>
      <c r="D44" s="7">
        <v>0.24368601813226623</v>
      </c>
      <c r="E44" s="8">
        <v>43.863483263807922</v>
      </c>
      <c r="F44" s="7">
        <v>0.37012021576829623</v>
      </c>
      <c r="G44" s="8">
        <v>880.14587309700846</v>
      </c>
      <c r="H44" s="7">
        <v>0.33470468289967054</v>
      </c>
      <c r="I44" s="8">
        <v>2488.8640220419502</v>
      </c>
      <c r="J44" s="7">
        <v>0.14677353461186082</v>
      </c>
      <c r="K44" s="8">
        <v>807.84153450368194</v>
      </c>
      <c r="L44" s="7">
        <v>6.8307042864355558E-2</v>
      </c>
      <c r="M44" s="8">
        <v>2372.2352916362042</v>
      </c>
      <c r="N44" s="7"/>
      <c r="O44" s="8"/>
      <c r="P44" s="7">
        <v>0.19919442645280261</v>
      </c>
      <c r="Q44" s="8">
        <v>930.8355548139466</v>
      </c>
      <c r="R44" s="7">
        <v>0.21548835572394398</v>
      </c>
      <c r="S44" s="8">
        <v>1792.6476312674899</v>
      </c>
      <c r="T44" s="7"/>
      <c r="U44" s="8"/>
      <c r="V44" s="7">
        <v>0.63513027846522219</v>
      </c>
      <c r="W44" s="8">
        <v>1197.8557051854091</v>
      </c>
      <c r="X44" s="7">
        <v>0.7195500849785964</v>
      </c>
      <c r="Y44" s="8">
        <v>27069.474196894796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0.20312442738608735</v>
      </c>
      <c r="AM44" s="8">
        <v>511.26418373078184</v>
      </c>
      <c r="AN44" s="7"/>
      <c r="AO44" s="8"/>
      <c r="AP44" s="7">
        <v>2.8593919554086582E-3</v>
      </c>
      <c r="AQ44" s="8">
        <v>16.501550974663367</v>
      </c>
      <c r="AR44" s="7"/>
      <c r="AS44" s="8"/>
      <c r="AT44" s="7">
        <v>0.44405157158051028</v>
      </c>
      <c r="AU44" s="8">
        <v>3766.8894817174687</v>
      </c>
      <c r="AV44" s="7">
        <v>0.1269607507747878</v>
      </c>
      <c r="AW44" s="8">
        <v>1312.3932807589815</v>
      </c>
      <c r="AX44" s="7"/>
      <c r="AY44" s="8"/>
      <c r="AZ44" s="7"/>
      <c r="BA44" s="8"/>
      <c r="BB44" s="7"/>
      <c r="BC44" s="8"/>
      <c r="BD44" s="7"/>
      <c r="BE44" s="8"/>
      <c r="BF44" s="7">
        <v>2.5873667958268148E-2</v>
      </c>
      <c r="BG44" s="8">
        <v>218.37375756778317</v>
      </c>
      <c r="BH44" s="7"/>
      <c r="BI44" s="8"/>
      <c r="BJ44" s="7">
        <v>0.14716378846877856</v>
      </c>
      <c r="BK44" s="8">
        <v>44112.787084881784</v>
      </c>
    </row>
    <row r="45" spans="1:63" x14ac:dyDescent="0.35">
      <c r="A45" s="6" t="s">
        <v>10</v>
      </c>
      <c r="B45" s="7">
        <v>0.34532280241884433</v>
      </c>
      <c r="C45" s="8">
        <v>1447.9385105422143</v>
      </c>
      <c r="D45" s="7"/>
      <c r="E45" s="8"/>
      <c r="F45" s="7">
        <v>0.3782395776797256</v>
      </c>
      <c r="G45" s="8">
        <v>899.45371572238753</v>
      </c>
      <c r="H45" s="7">
        <v>0.12532688684363019</v>
      </c>
      <c r="I45" s="8">
        <v>931.93073056923413</v>
      </c>
      <c r="J45" s="7"/>
      <c r="K45" s="8"/>
      <c r="L45" s="7">
        <v>6.0854794206700549E-2</v>
      </c>
      <c r="M45" s="8">
        <v>2113.4261480045034</v>
      </c>
      <c r="N45" s="7"/>
      <c r="O45" s="8"/>
      <c r="P45" s="7">
        <v>7.1281791567283787E-2</v>
      </c>
      <c r="Q45" s="8">
        <v>333.09981199391711</v>
      </c>
      <c r="R45" s="7"/>
      <c r="S45" s="8"/>
      <c r="T45" s="7"/>
      <c r="U45" s="8"/>
      <c r="V45" s="7">
        <v>0.2138465547616531</v>
      </c>
      <c r="W45" s="8">
        <v>403.31460228047774</v>
      </c>
      <c r="X45" s="7"/>
      <c r="Y45" s="8"/>
      <c r="Z45" s="7"/>
      <c r="AA45" s="8"/>
      <c r="AB45" s="7"/>
      <c r="AC45" s="8"/>
      <c r="AD45" s="7"/>
      <c r="AE45" s="8"/>
      <c r="AF45" s="7">
        <v>8.0501386267068306E-2</v>
      </c>
      <c r="AG45" s="8">
        <v>3707.0083362122286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3.2814256589008162E-2</v>
      </c>
      <c r="BK45" s="8">
        <v>9836.171855324963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0.12744590086024518</v>
      </c>
      <c r="M46" s="10">
        <v>4426.068690975455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1.4765719412234255E-2</v>
      </c>
      <c r="BK46" s="10">
        <v>4426.068690975455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0.27728024648466937</v>
      </c>
      <c r="M47" s="10">
        <v>9629.6656801660829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3.2125335460082408E-2</v>
      </c>
      <c r="BK47" s="10">
        <v>9629.6656801660829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0.26868410363912815</v>
      </c>
      <c r="I48" s="10">
        <v>1997.9349946605571</v>
      </c>
      <c r="J48" s="9">
        <v>6.0301854673516092E-2</v>
      </c>
      <c r="K48" s="10">
        <v>331.90140812303258</v>
      </c>
      <c r="L48" s="9">
        <v>0.11497019278808419</v>
      </c>
      <c r="M48" s="10">
        <v>3992.7998253373762</v>
      </c>
      <c r="N48" s="9"/>
      <c r="O48" s="10"/>
      <c r="P48" s="9">
        <v>0.23298463364968613</v>
      </c>
      <c r="Q48" s="10">
        <v>1088.7371930449833</v>
      </c>
      <c r="R48" s="9">
        <v>0.12302385854006308</v>
      </c>
      <c r="S48" s="10">
        <v>1023.4354791947848</v>
      </c>
      <c r="T48" s="9">
        <v>0.19935059468118257</v>
      </c>
      <c r="U48" s="10">
        <v>171.04281023645464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8.330960759923757E-2</v>
      </c>
      <c r="AG48" s="10">
        <v>3836.3241203372909</v>
      </c>
      <c r="AH48" s="9"/>
      <c r="AI48" s="10"/>
      <c r="AJ48" s="9"/>
      <c r="AK48" s="10"/>
      <c r="AL48" s="9"/>
      <c r="AM48" s="10"/>
      <c r="AN48" s="9">
        <v>0.34387146772248434</v>
      </c>
      <c r="AO48" s="10">
        <v>2561.4985630647857</v>
      </c>
      <c r="AP48" s="9">
        <v>7.1153379446561735E-2</v>
      </c>
      <c r="AQ48" s="10">
        <v>410.62615278610775</v>
      </c>
      <c r="AR48" s="9"/>
      <c r="AS48" s="10"/>
      <c r="AT48" s="9"/>
      <c r="AU48" s="10"/>
      <c r="AV48" s="9">
        <v>0.23877068124811285</v>
      </c>
      <c r="AW48" s="10">
        <v>2468.1725320617425</v>
      </c>
      <c r="AX48" s="9">
        <v>8.4093080954993835E-2</v>
      </c>
      <c r="AY48" s="10">
        <v>256.90436231750618</v>
      </c>
      <c r="AZ48" s="9">
        <v>0.13604755514296399</v>
      </c>
      <c r="BA48" s="10">
        <v>630.17227542220917</v>
      </c>
      <c r="BB48" s="9"/>
      <c r="BC48" s="10"/>
      <c r="BD48" s="9"/>
      <c r="BE48" s="10"/>
      <c r="BF48" s="9"/>
      <c r="BG48" s="10"/>
      <c r="BH48" s="9">
        <v>2.4371739080846118E-2</v>
      </c>
      <c r="BI48" s="10">
        <v>225.99913649668605</v>
      </c>
      <c r="BJ48" s="9">
        <v>6.337067136303394E-2</v>
      </c>
      <c r="BK48" s="10">
        <v>18995.548853083514</v>
      </c>
    </row>
    <row r="49" spans="1:63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4.5920047374656839E-2</v>
      </c>
      <c r="M49" s="10">
        <v>1594.7573252744573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5.3202380802676117E-3</v>
      </c>
      <c r="BK49" s="10">
        <v>1594.7573252744573</v>
      </c>
    </row>
    <row r="50" spans="1:63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1.9203149248043914E-2</v>
      </c>
      <c r="AG50" s="8">
        <v>884.53546066339879</v>
      </c>
      <c r="AH50" s="7"/>
      <c r="AI50" s="8"/>
      <c r="AJ50" s="7"/>
      <c r="AK50" s="8"/>
      <c r="AL50" s="7"/>
      <c r="AM50" s="8"/>
      <c r="AN50" s="7"/>
      <c r="AO50" s="8"/>
      <c r="AP50" s="7">
        <v>3.5378746659145276E-2</v>
      </c>
      <c r="AQ50" s="8">
        <v>204.17074696992739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3.6320110478738365E-3</v>
      </c>
      <c r="BK50" s="8">
        <v>1088.7062076333261</v>
      </c>
    </row>
    <row r="51" spans="1:63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7.5616113850915136E-3</v>
      </c>
      <c r="AG51" s="10">
        <v>348.2046426720791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2.2241503598282582E-3</v>
      </c>
      <c r="BK51" s="8">
        <v>666.69574280959989</v>
      </c>
    </row>
    <row r="52" spans="1:63" x14ac:dyDescent="0.35">
      <c r="A52" s="6" t="s">
        <v>12</v>
      </c>
      <c r="B52" s="9">
        <v>1.2800000000000001E-2</v>
      </c>
      <c r="C52" s="10">
        <v>53.670400000000001</v>
      </c>
      <c r="D52" s="9">
        <v>0.8</v>
      </c>
      <c r="E52" s="10">
        <v>144</v>
      </c>
      <c r="F52" s="9">
        <v>0.70180487804878044</v>
      </c>
      <c r="G52" s="10">
        <v>1668.8919999999998</v>
      </c>
      <c r="H52" s="9"/>
      <c r="I52" s="10"/>
      <c r="J52" s="9">
        <v>0.40010763922069509</v>
      </c>
      <c r="K52" s="10">
        <v>2202.1924462707057</v>
      </c>
      <c r="L52" s="9"/>
      <c r="M52" s="10"/>
      <c r="N52" s="9">
        <v>0.91280732484076443</v>
      </c>
      <c r="O52" s="10">
        <v>1146.4860000000001</v>
      </c>
      <c r="P52" s="9">
        <v>9.1161757563262627E-2</v>
      </c>
      <c r="Q52" s="10">
        <v>425.99889309312624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142</v>
      </c>
      <c r="AF52" s="9"/>
      <c r="AG52" s="10"/>
      <c r="AH52" s="9">
        <v>0.68799999999999994</v>
      </c>
      <c r="AI52" s="10">
        <v>743.72799999999995</v>
      </c>
      <c r="AJ52" s="9">
        <v>0.75</v>
      </c>
      <c r="AK52" s="10">
        <v>147.75</v>
      </c>
      <c r="AL52" s="9">
        <v>0.997</v>
      </c>
      <c r="AM52" s="10">
        <v>2509.4490000000001</v>
      </c>
      <c r="AN52" s="9"/>
      <c r="AO52" s="10"/>
      <c r="AP52" s="9"/>
      <c r="AQ52" s="10"/>
      <c r="AR52" s="9">
        <v>0.63300000000000001</v>
      </c>
      <c r="AS52" s="10">
        <v>328.52699999999999</v>
      </c>
      <c r="AT52" s="9"/>
      <c r="AU52" s="10"/>
      <c r="AV52" s="9"/>
      <c r="AW52" s="10"/>
      <c r="AX52" s="9"/>
      <c r="AY52" s="10"/>
      <c r="AZ52" s="9"/>
      <c r="BA52" s="10"/>
      <c r="BB52" s="9">
        <v>0.40342873176206512</v>
      </c>
      <c r="BC52" s="10">
        <v>718.91000000000008</v>
      </c>
      <c r="BD52" s="9">
        <v>3.3543259375805705E-2</v>
      </c>
      <c r="BE52" s="10">
        <v>389.77267394686226</v>
      </c>
      <c r="BF52" s="9"/>
      <c r="BG52" s="10"/>
      <c r="BH52" s="9"/>
      <c r="BI52" s="10"/>
      <c r="BJ52" s="9">
        <v>3.5434560795176047E-2</v>
      </c>
      <c r="BK52" s="10">
        <v>10621.615902036407</v>
      </c>
    </row>
    <row r="53" spans="1:63" x14ac:dyDescent="0.35">
      <c r="A53" s="6" t="s">
        <v>13</v>
      </c>
      <c r="B53" s="7">
        <v>1.437105540999073E-3</v>
      </c>
      <c r="C53" s="8">
        <v>6.025783533409113</v>
      </c>
      <c r="D53" s="7"/>
      <c r="E53" s="8"/>
      <c r="F53" s="7"/>
      <c r="G53" s="8"/>
      <c r="H53" s="7">
        <v>4.3836511318872612E-3</v>
      </c>
      <c r="I53" s="8">
        <v>32.596829816713672</v>
      </c>
      <c r="J53" s="7">
        <v>6.0330671547415109E-3</v>
      </c>
      <c r="K53" s="8">
        <v>33.206001619697275</v>
      </c>
      <c r="L53" s="7">
        <v>1.5316983214619767E-2</v>
      </c>
      <c r="M53" s="8">
        <v>531.94351006052989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4.9956486262579536E-2</v>
      </c>
      <c r="Y53" s="8">
        <v>1879.363013198242</v>
      </c>
      <c r="Z53" s="7"/>
      <c r="AA53" s="8"/>
      <c r="AB53" s="7"/>
      <c r="AC53" s="8"/>
      <c r="AD53" s="7"/>
      <c r="AE53" s="8"/>
      <c r="AF53" s="7">
        <v>1.4575199762767492E-2</v>
      </c>
      <c r="AG53" s="8">
        <v>671.17337387568023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2.015790427021728E-2</v>
      </c>
      <c r="AU53" s="8">
        <v>170.9995019242532</v>
      </c>
      <c r="AV53" s="7"/>
      <c r="AW53" s="8"/>
      <c r="AX53" s="7">
        <v>7.5189073213917709E-3</v>
      </c>
      <c r="AY53" s="8">
        <v>26.368807976120941</v>
      </c>
      <c r="AZ53" s="7"/>
      <c r="BA53" s="8"/>
      <c r="BB53" s="7"/>
      <c r="BC53" s="8"/>
      <c r="BD53" s="7"/>
      <c r="BE53" s="8"/>
      <c r="BF53" s="7">
        <v>8.974364802689988E-2</v>
      </c>
      <c r="BG53" s="8">
        <v>757.43638934703495</v>
      </c>
      <c r="BH53" s="7">
        <v>4.9525010561601857E-4</v>
      </c>
      <c r="BI53" s="8">
        <v>4.5924542293773403</v>
      </c>
      <c r="BJ53" s="7">
        <v>1.9359789288116134E-2</v>
      </c>
      <c r="BK53" s="8">
        <v>5803.1549184806754</v>
      </c>
    </row>
    <row r="54" spans="1:63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0.86751711991528291</v>
      </c>
      <c r="AC54" s="8">
        <v>11439.948260322835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3.8164583041113302E-2</v>
      </c>
      <c r="BK54" s="8">
        <v>11439.948260322835</v>
      </c>
    </row>
    <row r="55" spans="1:63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0.9</v>
      </c>
      <c r="F55" s="11"/>
      <c r="G55" s="17"/>
      <c r="H55" s="11">
        <v>2.5999999999999999E-2</v>
      </c>
      <c r="I55" s="17">
        <f>H55*H42</f>
        <v>193.33599999999998</v>
      </c>
      <c r="J55" s="11">
        <v>0.02</v>
      </c>
      <c r="K55" s="17">
        <f>J55*J42</f>
        <v>110.08</v>
      </c>
      <c r="L55" s="11"/>
      <c r="M55" s="12"/>
      <c r="N55" s="11"/>
      <c r="O55" s="12"/>
      <c r="P55" s="11">
        <v>2E-3</v>
      </c>
      <c r="Q55" s="17">
        <f>P55*P42</f>
        <v>9.3460000000000001</v>
      </c>
      <c r="R55" s="11"/>
      <c r="S55" s="17"/>
      <c r="T55" s="11"/>
      <c r="U55" s="12"/>
      <c r="V55" s="11">
        <v>2.7E-2</v>
      </c>
      <c r="W55" s="17">
        <f>V55*V42</f>
        <v>50.921999999999997</v>
      </c>
      <c r="X55" s="11">
        <v>0.13200000000000001</v>
      </c>
      <c r="Y55" s="17">
        <f>X55*X42</f>
        <v>4965.84</v>
      </c>
      <c r="Z55" s="11">
        <v>0.94399999999999995</v>
      </c>
      <c r="AA55" s="17">
        <f>Z55*Z42</f>
        <v>2211.7919999999999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7">
        <f>AL55*AL42</f>
        <v>17.619</v>
      </c>
      <c r="AN55" s="11"/>
      <c r="AO55" s="12"/>
      <c r="AP55" s="11">
        <v>5.0000000000000001E-3</v>
      </c>
      <c r="AQ55" s="17">
        <f>AP55*AP42</f>
        <v>28.855</v>
      </c>
      <c r="AR55" s="11"/>
      <c r="AS55" s="12"/>
      <c r="AT55" s="11">
        <v>5.7000000000000002E-2</v>
      </c>
      <c r="AU55" s="17">
        <f>AT55*AT42</f>
        <v>483.53100000000001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59.08</v>
      </c>
      <c r="BH55" s="11"/>
      <c r="BI55" s="12"/>
      <c r="BJ55" s="11">
        <v>3.6956793487810446E-2</v>
      </c>
      <c r="BK55" s="12">
        <v>11077.909718351644</v>
      </c>
    </row>
    <row r="56" spans="1:63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8.1810669360022001E-2</v>
      </c>
      <c r="Y56" s="8">
        <v>3077.7173813240279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1.0267511522233399E-2</v>
      </c>
      <c r="BK56" s="8">
        <v>3077.7173813240279</v>
      </c>
    </row>
    <row r="57" spans="1:63" x14ac:dyDescent="0.3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4.5964917469885111E-2</v>
      </c>
      <c r="AG57" s="8">
        <v>2116.6384845707394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7.0612753986473509E-3</v>
      </c>
      <c r="BK57" s="8">
        <v>2116.6384845707394</v>
      </c>
    </row>
    <row r="58" spans="1:63" ht="58" x14ac:dyDescent="0.3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0.29516744707979814</v>
      </c>
      <c r="BK58" s="8">
        <v>88477.32776451073</v>
      </c>
    </row>
    <row r="59" spans="1:63" ht="43.5" x14ac:dyDescent="0.3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0.1407499681874238</v>
      </c>
      <c r="BK59" s="8">
        <v>42190.22521408485</v>
      </c>
    </row>
    <row r="60" spans="1:63" x14ac:dyDescent="0.35">
      <c r="A60" s="6" t="s">
        <v>204</v>
      </c>
      <c r="B60" s="13">
        <v>0.4629267914907238</v>
      </c>
      <c r="C60" s="14">
        <v>1941.052036720605</v>
      </c>
      <c r="D60" s="13">
        <v>0.84949351760832104</v>
      </c>
      <c r="E60" s="14">
        <v>152.9088331694978</v>
      </c>
      <c r="F60" s="13">
        <v>0.88321655599202686</v>
      </c>
      <c r="G60" s="14">
        <v>2100.2889701490399</v>
      </c>
      <c r="H60" s="13">
        <v>0.58731732843875628</v>
      </c>
      <c r="I60" s="14">
        <v>4367.2916542705916</v>
      </c>
      <c r="J60" s="13">
        <v>0.53148442651235595</v>
      </c>
      <c r="K60" s="14">
        <v>2925.290283524007</v>
      </c>
      <c r="L60" s="13">
        <v>0.54121737464469433</v>
      </c>
      <c r="M60" s="14">
        <v>18795.938204035589</v>
      </c>
      <c r="N60" s="13">
        <v>0.91280732484076443</v>
      </c>
      <c r="O60" s="14">
        <v>1146.4860000000001</v>
      </c>
      <c r="P60" s="13">
        <v>0.48259306354038844</v>
      </c>
      <c r="Q60" s="14">
        <v>2255.1573859242353</v>
      </c>
      <c r="R60" s="13">
        <v>0.31200200527239375</v>
      </c>
      <c r="S60" s="14">
        <v>2595.5446818610435</v>
      </c>
      <c r="T60" s="13">
        <v>0.19935059468118255</v>
      </c>
      <c r="U60" s="14">
        <v>171.04281023645461</v>
      </c>
      <c r="V60" s="13">
        <v>0.72090118824576666</v>
      </c>
      <c r="W60" s="14">
        <v>1359.6196410315158</v>
      </c>
      <c r="X60" s="13">
        <v>0.78765072766628563</v>
      </c>
      <c r="Y60" s="14">
        <v>29631.420374805664</v>
      </c>
      <c r="Z60" s="13">
        <v>0.94399999999999995</v>
      </c>
      <c r="AA60" s="14">
        <v>2211.7919999999999</v>
      </c>
      <c r="AB60" s="13">
        <v>0.86751711991528291</v>
      </c>
      <c r="AC60" s="14">
        <v>11439.948260322835</v>
      </c>
      <c r="AD60" s="13">
        <v>1</v>
      </c>
      <c r="AE60" s="14">
        <v>142</v>
      </c>
      <c r="AF60" s="13">
        <v>0.22866292026438784</v>
      </c>
      <c r="AG60" s="14">
        <v>10529.698815254795</v>
      </c>
      <c r="AH60" s="13">
        <v>0.68799999999999994</v>
      </c>
      <c r="AI60" s="14">
        <v>743.72799999999995</v>
      </c>
      <c r="AJ60" s="13">
        <v>0.75</v>
      </c>
      <c r="AK60" s="14">
        <v>147.75</v>
      </c>
      <c r="AL60" s="13">
        <v>0.99762610766918314</v>
      </c>
      <c r="AM60" s="14">
        <v>2511.0249130033339</v>
      </c>
      <c r="AN60" s="13">
        <v>0.34387146772248434</v>
      </c>
      <c r="AO60" s="14">
        <v>2561.4985630647857</v>
      </c>
      <c r="AP60" s="13">
        <v>0.11104389766059319</v>
      </c>
      <c r="AQ60" s="14">
        <v>640.83433339928331</v>
      </c>
      <c r="AR60" s="13">
        <v>0.63300000000000001</v>
      </c>
      <c r="AS60" s="14">
        <v>328.52699999999999</v>
      </c>
      <c r="AT60" s="13">
        <v>0.48630860215332128</v>
      </c>
      <c r="AU60" s="14">
        <v>4125.3558720666242</v>
      </c>
      <c r="AV60" s="13">
        <v>0.33541692706863269</v>
      </c>
      <c r="AW60" s="14">
        <v>3467.204775108456</v>
      </c>
      <c r="AX60" s="13">
        <v>9.0979700194314672E-2</v>
      </c>
      <c r="AY60" s="14">
        <v>277.94298409363131</v>
      </c>
      <c r="AZ60" s="13">
        <v>0.13604755514296396</v>
      </c>
      <c r="BA60" s="14">
        <v>630.17227542220905</v>
      </c>
      <c r="BB60" s="13">
        <v>0.40342873176206506</v>
      </c>
      <c r="BC60" s="14">
        <v>718.91</v>
      </c>
      <c r="BD60" s="13">
        <v>3.3543259375805712E-2</v>
      </c>
      <c r="BE60" s="14">
        <v>184.62209960443465</v>
      </c>
      <c r="BF60" s="13">
        <v>0.119502251404313</v>
      </c>
      <c r="BG60" s="14">
        <v>1008.5990018524</v>
      </c>
      <c r="BH60" s="13">
        <v>2.4854919080108284E-2</v>
      </c>
      <c r="BI60" s="14">
        <v>230.47966462984411</v>
      </c>
      <c r="BJ60" s="13">
        <v>0.3727131993204198</v>
      </c>
      <c r="BK60" s="14">
        <v>111721.8996358938</v>
      </c>
    </row>
  </sheetData>
  <mergeCells count="93">
    <mergeCell ref="B3:C3"/>
    <mergeCell ref="D3:E3"/>
    <mergeCell ref="F3:G3"/>
    <mergeCell ref="H3:I3"/>
    <mergeCell ref="J3:K3"/>
    <mergeCell ref="L3:M3"/>
    <mergeCell ref="N3:O3"/>
    <mergeCell ref="P3:Q3"/>
    <mergeCell ref="Z3:AA3"/>
    <mergeCell ref="AB3:AC3"/>
    <mergeCell ref="AD3:AE3"/>
    <mergeCell ref="AF3:AG3"/>
    <mergeCell ref="AH3:AI3"/>
    <mergeCell ref="AJ3:AK3"/>
    <mergeCell ref="R3:S3"/>
    <mergeCell ref="T3:U3"/>
    <mergeCell ref="V3:W3"/>
    <mergeCell ref="X3:Y3"/>
    <mergeCell ref="BF3:BG3"/>
    <mergeCell ref="BH3:BI3"/>
    <mergeCell ref="BJ3:BK3"/>
    <mergeCell ref="AV3:AW3"/>
    <mergeCell ref="AX3:AY3"/>
    <mergeCell ref="AZ3:BA3"/>
    <mergeCell ref="BB3:BC3"/>
    <mergeCell ref="BD3:BE3"/>
    <mergeCell ref="AL3:AM3"/>
    <mergeCell ref="AN3:AO3"/>
    <mergeCell ref="AP3:AQ3"/>
    <mergeCell ref="AR3:AS3"/>
    <mergeCell ref="AT3:AU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N21:O21"/>
    <mergeCell ref="P21:Q21"/>
    <mergeCell ref="R21:S21"/>
    <mergeCell ref="T21:U21"/>
    <mergeCell ref="V21:W21"/>
    <mergeCell ref="AP21:AQ21"/>
    <mergeCell ref="AR21:AS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AT21:AU21"/>
    <mergeCell ref="AV21:AW21"/>
    <mergeCell ref="AX21:AY21"/>
    <mergeCell ref="AZ21:BA2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AB42:AC42"/>
    <mergeCell ref="AD42:AE42"/>
    <mergeCell ref="AF42:AG42"/>
    <mergeCell ref="AH42:AI42"/>
    <mergeCell ref="AJ42:AK42"/>
    <mergeCell ref="AL42:AM42"/>
    <mergeCell ref="T42:U42"/>
    <mergeCell ref="V42:W42"/>
    <mergeCell ref="X42:Y42"/>
    <mergeCell ref="Z42:AA42"/>
    <mergeCell ref="BH42:BI42"/>
    <mergeCell ref="BJ42:BK42"/>
    <mergeCell ref="AX42:AY42"/>
    <mergeCell ref="AZ42:BA42"/>
    <mergeCell ref="BB42:BC42"/>
    <mergeCell ref="BD42:BE42"/>
    <mergeCell ref="BF42:BG42"/>
    <mergeCell ref="AN42:AO42"/>
    <mergeCell ref="AP42:AQ42"/>
    <mergeCell ref="AR42:AS42"/>
    <mergeCell ref="AT42:AU42"/>
    <mergeCell ref="AV42:AW42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60"/>
  <sheetViews>
    <sheetView zoomScale="80" zoomScaleNormal="80" workbookViewId="0"/>
  </sheetViews>
  <sheetFormatPr defaultRowHeight="14.5" x14ac:dyDescent="0.35"/>
  <cols>
    <col min="1" max="1" width="26.54296875" customWidth="1"/>
    <col min="63" max="63" width="10.453125" customWidth="1"/>
  </cols>
  <sheetData>
    <row r="1" spans="1:63" s="15" customFormat="1" ht="63" customHeight="1" x14ac:dyDescent="0.35">
      <c r="A1" s="1" t="s">
        <v>0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35">
      <c r="A3" s="2" t="s">
        <v>5</v>
      </c>
      <c r="B3" s="65">
        <v>2689</v>
      </c>
      <c r="C3" s="65"/>
      <c r="D3" s="65">
        <v>119</v>
      </c>
      <c r="E3" s="65"/>
      <c r="F3" s="65">
        <v>1798</v>
      </c>
      <c r="G3" s="65"/>
      <c r="H3" s="65">
        <v>5036</v>
      </c>
      <c r="I3" s="65"/>
      <c r="J3" s="65">
        <v>3565</v>
      </c>
      <c r="K3" s="65"/>
      <c r="L3" s="65">
        <v>19178</v>
      </c>
      <c r="M3" s="65"/>
      <c r="N3" s="65">
        <v>403</v>
      </c>
      <c r="O3" s="65"/>
      <c r="P3" s="65">
        <v>2977</v>
      </c>
      <c r="Q3" s="65"/>
      <c r="R3" s="65">
        <v>4175</v>
      </c>
      <c r="S3" s="65"/>
      <c r="T3" s="65">
        <v>247</v>
      </c>
      <c r="U3" s="65"/>
      <c r="V3" s="65">
        <v>1525</v>
      </c>
      <c r="W3" s="65"/>
      <c r="X3" s="65">
        <v>20000</v>
      </c>
      <c r="Y3" s="65"/>
      <c r="Z3" s="65">
        <v>1954</v>
      </c>
      <c r="AA3" s="65"/>
      <c r="AB3" s="65">
        <v>6657</v>
      </c>
      <c r="AC3" s="65"/>
      <c r="AD3" s="65">
        <v>125</v>
      </c>
      <c r="AE3" s="65"/>
      <c r="AF3" s="65">
        <v>319</v>
      </c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519</v>
      </c>
      <c r="AS3" s="65"/>
      <c r="AT3" s="65">
        <v>6152</v>
      </c>
      <c r="AU3" s="65"/>
      <c r="AV3" s="65">
        <v>6446</v>
      </c>
      <c r="AW3" s="65"/>
      <c r="AX3" s="65">
        <v>821</v>
      </c>
      <c r="AY3" s="65"/>
      <c r="AZ3" s="65">
        <v>2686</v>
      </c>
      <c r="BA3" s="65"/>
      <c r="BB3" s="65">
        <v>1033</v>
      </c>
      <c r="BC3" s="65"/>
      <c r="BD3" s="65">
        <v>3565</v>
      </c>
      <c r="BE3" s="65"/>
      <c r="BF3" s="65">
        <v>4998</v>
      </c>
      <c r="BG3" s="65"/>
      <c r="BH3" s="65">
        <v>4502</v>
      </c>
      <c r="BI3" s="65"/>
      <c r="BJ3" s="65">
        <v>152891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0.17442699171594525</v>
      </c>
      <c r="C5" s="8">
        <v>469.03418072417679</v>
      </c>
      <c r="D5" s="7">
        <v>0.25929381680998215</v>
      </c>
      <c r="E5" s="8">
        <v>30.855964200387877</v>
      </c>
      <c r="F5" s="7">
        <v>0.37434569940191514</v>
      </c>
      <c r="G5" s="8">
        <v>673.07356752464341</v>
      </c>
      <c r="H5" s="7">
        <v>0.33801447883088703</v>
      </c>
      <c r="I5" s="8">
        <v>1702.240915392347</v>
      </c>
      <c r="J5" s="7">
        <v>0.2085564722752643</v>
      </c>
      <c r="K5" s="8">
        <v>743.50382366131726</v>
      </c>
      <c r="L5" s="7">
        <v>7.8298411714373226E-2</v>
      </c>
      <c r="M5" s="8">
        <v>715.78625525481584</v>
      </c>
      <c r="N5" s="7"/>
      <c r="O5" s="8"/>
      <c r="P5" s="7">
        <v>0.24043878241680075</v>
      </c>
      <c r="Q5" s="8">
        <v>715.78625525481584</v>
      </c>
      <c r="R5" s="7">
        <v>0.23089208626216245</v>
      </c>
      <c r="S5" s="8">
        <v>963.97446014452828</v>
      </c>
      <c r="T5" s="7"/>
      <c r="U5" s="8"/>
      <c r="V5" s="7">
        <v>0.641514853015964</v>
      </c>
      <c r="W5" s="8">
        <v>978.31015084934506</v>
      </c>
      <c r="X5" s="7">
        <v>0.73861134080333102</v>
      </c>
      <c r="Y5" s="8">
        <v>14772.226816066621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0.45675639570188442</v>
      </c>
      <c r="AU5" s="8">
        <v>2809.965346357993</v>
      </c>
      <c r="AV5" s="7">
        <v>0.13800468879268868</v>
      </c>
      <c r="AW5" s="8">
        <v>889.57822395767118</v>
      </c>
      <c r="AX5" s="7"/>
      <c r="AY5" s="8"/>
      <c r="AZ5" s="7"/>
      <c r="BA5" s="8"/>
      <c r="BB5" s="7"/>
      <c r="BC5" s="8"/>
      <c r="BD5" s="7"/>
      <c r="BE5" s="8"/>
      <c r="BF5" s="7">
        <v>2.5006075089351307E-2</v>
      </c>
      <c r="BG5" s="8">
        <v>124.98036329657783</v>
      </c>
      <c r="BH5" s="7"/>
      <c r="BI5" s="8"/>
      <c r="BJ5" s="7">
        <v>0.17250941525196822</v>
      </c>
      <c r="BK5" s="8">
        <v>26375.137007288675</v>
      </c>
    </row>
    <row r="6" spans="1:63" x14ac:dyDescent="0.35">
      <c r="A6" s="6" t="s">
        <v>10</v>
      </c>
      <c r="B6" s="7">
        <v>0.42102221358932379</v>
      </c>
      <c r="C6" s="8">
        <v>1132.1287323416916</v>
      </c>
      <c r="D6" s="7"/>
      <c r="E6" s="8"/>
      <c r="F6" s="7">
        <v>0.43145099439717433</v>
      </c>
      <c r="G6" s="8">
        <v>775.74888792611944</v>
      </c>
      <c r="H6" s="7">
        <v>0.1044953674989723</v>
      </c>
      <c r="I6" s="8">
        <v>526.23867072482449</v>
      </c>
      <c r="J6" s="7"/>
      <c r="K6" s="8"/>
      <c r="L6" s="7">
        <v>7.9829061559125572E-2</v>
      </c>
      <c r="M6" s="8">
        <v>1530.9617425809101</v>
      </c>
      <c r="N6" s="7"/>
      <c r="O6" s="8"/>
      <c r="P6" s="7">
        <v>0.10358174863219158</v>
      </c>
      <c r="Q6" s="8">
        <v>308.36286567803432</v>
      </c>
      <c r="R6" s="7"/>
      <c r="S6" s="8"/>
      <c r="T6" s="7"/>
      <c r="U6" s="8"/>
      <c r="V6" s="7">
        <v>0.23633137007098293</v>
      </c>
      <c r="W6" s="8">
        <v>360.40533935824897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3.0308168817064635E-2</v>
      </c>
      <c r="BK6" s="8">
        <v>4633.846238609829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0.16144909446084743</v>
      </c>
      <c r="M7" s="10">
        <v>3096.2707335701321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2.0251491151016945E-2</v>
      </c>
      <c r="BK7" s="10">
        <v>3096.2707335701321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0.24573743988998248</v>
      </c>
      <c r="M8" s="10">
        <v>4712.7526222100842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3.0824264490454535E-2</v>
      </c>
      <c r="BK8" s="10">
        <v>4712.7526222100842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0.31584466044272963</v>
      </c>
      <c r="I9" s="10">
        <v>1590.5937099895864</v>
      </c>
      <c r="J9" s="9">
        <v>7.0768494735902243E-2</v>
      </c>
      <c r="K9" s="10">
        <v>252.28968373349147</v>
      </c>
      <c r="L9" s="9">
        <v>0.152986852267119</v>
      </c>
      <c r="M9" s="10">
        <v>2933.9818527788079</v>
      </c>
      <c r="N9" s="9"/>
      <c r="O9" s="10"/>
      <c r="P9" s="9">
        <v>0.2343978876933302</v>
      </c>
      <c r="Q9" s="10">
        <v>697.80251166304402</v>
      </c>
      <c r="R9" s="9">
        <v>0.14015755928062656</v>
      </c>
      <c r="S9" s="10">
        <v>585.15780999661592</v>
      </c>
      <c r="T9" s="9">
        <v>0.12469197785951593</v>
      </c>
      <c r="U9" s="10">
        <v>30.798918531300433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0.21206859383049084</v>
      </c>
      <c r="AW9" s="10">
        <v>1366.994155831344</v>
      </c>
      <c r="AX9" s="9">
        <v>9.3694177451390553E-2</v>
      </c>
      <c r="AY9" s="10">
        <v>76.922919687591644</v>
      </c>
      <c r="AZ9" s="9">
        <v>0.15822174090032648</v>
      </c>
      <c r="BA9" s="10">
        <v>424.98359605827693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5.2060128838650133E-2</v>
      </c>
      <c r="BK9" s="10">
        <v>7959.5251582700575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4.1403006217591687E-2</v>
      </c>
      <c r="M10" s="10">
        <v>794.02685324097342</v>
      </c>
      <c r="N10" s="40"/>
      <c r="O10" s="4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5.1934178809803942E-3</v>
      </c>
      <c r="BK10" s="10">
        <v>794.02685324097342</v>
      </c>
    </row>
    <row r="11" spans="1:63" x14ac:dyDescent="0.35">
      <c r="A11" s="6" t="s">
        <v>12</v>
      </c>
      <c r="B11" s="7">
        <v>1.2800000000000001E-2</v>
      </c>
      <c r="C11" s="8">
        <v>34.419200000000004</v>
      </c>
      <c r="D11" s="7">
        <v>0.8</v>
      </c>
      <c r="E11" s="8">
        <v>95.2</v>
      </c>
      <c r="F11" s="7">
        <v>0.72399999999999998</v>
      </c>
      <c r="G11" s="8">
        <v>367.14</v>
      </c>
      <c r="H11" s="7"/>
      <c r="I11" s="8"/>
      <c r="J11" s="7">
        <v>0.38563890821319191</v>
      </c>
      <c r="K11" s="8">
        <v>1374.8027077800291</v>
      </c>
      <c r="L11" s="7"/>
      <c r="M11" s="8"/>
      <c r="N11" s="9">
        <v>0.88700000000000001</v>
      </c>
      <c r="O11" s="10">
        <v>357.46100000000001</v>
      </c>
      <c r="P11" s="7">
        <v>9.6410425065629968E-2</v>
      </c>
      <c r="Q11" s="8">
        <v>287.01383542038042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125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328.52699999999999</v>
      </c>
      <c r="AT11" s="7"/>
      <c r="AU11" s="8"/>
      <c r="AV11" s="7"/>
      <c r="AW11" s="8"/>
      <c r="AX11" s="7"/>
      <c r="AY11" s="8"/>
      <c r="AZ11" s="7"/>
      <c r="BA11" s="8"/>
      <c r="BB11" s="7">
        <v>0.40107454017424976</v>
      </c>
      <c r="BC11" s="8">
        <v>414.31</v>
      </c>
      <c r="BD11" s="7">
        <v>3.4179891174110189E-2</v>
      </c>
      <c r="BE11" s="8">
        <v>220.39193829066249</v>
      </c>
      <c r="BF11" s="7"/>
      <c r="BG11" s="8"/>
      <c r="BH11" s="7"/>
      <c r="BI11" s="8"/>
      <c r="BJ11" s="7">
        <v>2.9688290571642087E-2</v>
      </c>
      <c r="BK11" s="8">
        <v>4539.0724337889305</v>
      </c>
    </row>
    <row r="12" spans="1:63" x14ac:dyDescent="0.35">
      <c r="A12" s="6" t="s">
        <v>13</v>
      </c>
      <c r="B12" s="9">
        <v>1.437105540999073E-3</v>
      </c>
      <c r="C12" s="10">
        <v>3.8643767997465073</v>
      </c>
      <c r="D12" s="9"/>
      <c r="E12" s="10"/>
      <c r="F12" s="9"/>
      <c r="G12" s="10"/>
      <c r="H12" s="9">
        <v>3.4153886251632156E-3</v>
      </c>
      <c r="I12" s="10">
        <v>17.199897116321953</v>
      </c>
      <c r="J12" s="9">
        <v>4.2716209338112786E-3</v>
      </c>
      <c r="K12" s="10">
        <v>15.228328629037208</v>
      </c>
      <c r="L12" s="9">
        <v>1.1714867503470092E-2</v>
      </c>
      <c r="M12" s="10">
        <v>224.66772898154943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4.8495712259087664E-2</v>
      </c>
      <c r="Y12" s="10">
        <v>969.91424518175324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2.0982258861753294E-2</v>
      </c>
      <c r="AU12" s="10">
        <v>129.08285651750626</v>
      </c>
      <c r="AV12" s="9"/>
      <c r="AW12" s="10"/>
      <c r="AX12" s="9">
        <v>4.4553202099004673E-3</v>
      </c>
      <c r="AY12" s="10">
        <v>3.6578178923282838</v>
      </c>
      <c r="AZ12" s="9"/>
      <c r="BA12" s="10"/>
      <c r="BB12" s="9"/>
      <c r="BC12" s="10"/>
      <c r="BD12" s="9"/>
      <c r="BE12" s="10"/>
      <c r="BF12" s="9">
        <v>8.2443610907700957E-2</v>
      </c>
      <c r="BG12" s="10">
        <v>412.05316731668938</v>
      </c>
      <c r="BH12" s="9">
        <v>4.9525010561601857E-4</v>
      </c>
      <c r="BI12" s="10">
        <v>2.2296159754833154</v>
      </c>
      <c r="BJ12" s="9">
        <v>1.749516248583478E-2</v>
      </c>
      <c r="BK12" s="8">
        <v>2674.8528876217651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0.88618225441029774</v>
      </c>
      <c r="AC13" s="10">
        <v>5899.3152676093523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3.8585104863002741E-2</v>
      </c>
      <c r="BK13" s="10">
        <v>5899.3152676093523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0.71399999999999997</v>
      </c>
      <c r="F14" s="11"/>
      <c r="G14" s="17"/>
      <c r="H14" s="11">
        <v>3.3000000000000002E-2</v>
      </c>
      <c r="I14" s="17">
        <f>H14*H3</f>
        <v>166.18800000000002</v>
      </c>
      <c r="J14" s="11">
        <v>0.03</v>
      </c>
      <c r="K14" s="17">
        <f>J14*J3</f>
        <v>106.95</v>
      </c>
      <c r="L14" s="11"/>
      <c r="M14" s="12"/>
      <c r="N14" s="11"/>
      <c r="O14" s="12"/>
      <c r="P14" s="11">
        <v>3.0000000000000001E-3</v>
      </c>
      <c r="Q14" s="17">
        <f>P14*P3</f>
        <v>8.9310000000000009</v>
      </c>
      <c r="R14" s="11">
        <v>2.0000000000000001E-4</v>
      </c>
      <c r="S14" s="17">
        <f>R14*R3</f>
        <v>0.83500000000000008</v>
      </c>
      <c r="T14" s="11"/>
      <c r="U14" s="12"/>
      <c r="V14" s="11">
        <v>2.9000000000000001E-2</v>
      </c>
      <c r="W14" s="17">
        <f>V14*V3</f>
        <v>44.225000000000001</v>
      </c>
      <c r="X14" s="11">
        <v>0.20499999999999999</v>
      </c>
      <c r="Y14" s="17">
        <f>X14*X3</f>
        <v>4100</v>
      </c>
      <c r="Z14" s="11">
        <v>0.97</v>
      </c>
      <c r="AA14" s="17">
        <f>Z14*Z3</f>
        <v>1895.3799999999999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436.79199999999997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44.981999999999999</v>
      </c>
      <c r="BH14" s="11"/>
      <c r="BI14" s="12"/>
      <c r="BJ14" s="11">
        <v>4.8782967403909791E-2</v>
      </c>
      <c r="BK14" s="12">
        <v>7458.4766693511719</v>
      </c>
    </row>
    <row r="15" spans="1:63" x14ac:dyDescent="0.3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8.1810669360022001E-2</v>
      </c>
      <c r="Y15" s="8">
        <v>1636.2133872004399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1.0701829324161919E-2</v>
      </c>
      <c r="BK15" s="8">
        <v>1636.2133872004399</v>
      </c>
    </row>
    <row r="16" spans="1:63" ht="58" x14ac:dyDescent="0.3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47">
        <v>0.30921288428347526</v>
      </c>
      <c r="BK16" s="48">
        <v>47275.867090984815</v>
      </c>
    </row>
    <row r="17" spans="1:63" ht="43.5" x14ac:dyDescent="0.3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0.13169895978077883</v>
      </c>
      <c r="BK17" s="8">
        <v>20135.585659843058</v>
      </c>
    </row>
    <row r="18" spans="1:63" x14ac:dyDescent="0.35">
      <c r="A18" s="6" t="s">
        <v>204</v>
      </c>
      <c r="B18" s="13">
        <v>0.52880794633548778</v>
      </c>
      <c r="C18" s="14">
        <v>1421.9645676961266</v>
      </c>
      <c r="D18" s="13">
        <v>0.85274761078182437</v>
      </c>
      <c r="E18" s="14">
        <v>101.47696568303709</v>
      </c>
      <c r="F18" s="13">
        <v>0.90182262399409641</v>
      </c>
      <c r="G18" s="14">
        <v>1621.4770779413852</v>
      </c>
      <c r="H18" s="13">
        <v>0.60914857541017675</v>
      </c>
      <c r="I18" s="14">
        <v>3067.6722257656502</v>
      </c>
      <c r="J18" s="13">
        <v>0.56360458333251917</v>
      </c>
      <c r="K18" s="14">
        <v>2009.2503395804308</v>
      </c>
      <c r="L18" s="13">
        <v>0.56955337371133474</v>
      </c>
      <c r="M18" s="14">
        <v>10922.894601035978</v>
      </c>
      <c r="N18" s="13">
        <v>0.88700000000000001</v>
      </c>
      <c r="O18" s="14">
        <v>357.46100000000001</v>
      </c>
      <c r="P18" s="13">
        <v>0.53038391326051004</v>
      </c>
      <c r="Q18" s="14">
        <v>1578.9529097765385</v>
      </c>
      <c r="R18" s="13">
        <v>0.33882063660021733</v>
      </c>
      <c r="S18" s="14">
        <v>1414.5761578059073</v>
      </c>
      <c r="T18" s="13">
        <v>0.12469197785951591</v>
      </c>
      <c r="U18" s="14">
        <v>30.79891853130043</v>
      </c>
      <c r="V18" s="13">
        <v>0.7341752909231678</v>
      </c>
      <c r="W18" s="14">
        <v>1119.617318657831</v>
      </c>
      <c r="X18" s="13">
        <v>0.81844974580477414</v>
      </c>
      <c r="Y18" s="14">
        <v>16368.994916095482</v>
      </c>
      <c r="Z18" s="13">
        <v>0.97</v>
      </c>
      <c r="AA18" s="14">
        <v>1895.3799999999999</v>
      </c>
      <c r="AB18" s="13">
        <v>0.88618225441029774</v>
      </c>
      <c r="AC18" s="14">
        <v>5899.3152676093523</v>
      </c>
      <c r="AD18" s="13">
        <v>1</v>
      </c>
      <c r="AE18" s="14">
        <v>125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328.52699999999999</v>
      </c>
      <c r="AT18" s="13">
        <v>0.50591587760436896</v>
      </c>
      <c r="AU18" s="14">
        <v>3112.394479022078</v>
      </c>
      <c r="AV18" s="13">
        <v>0.32080682232889957</v>
      </c>
      <c r="AW18" s="14">
        <v>2067.9207767320868</v>
      </c>
      <c r="AX18" s="13">
        <v>9.7732060098941864E-2</v>
      </c>
      <c r="AY18" s="14">
        <v>80.238021341231274</v>
      </c>
      <c r="AZ18" s="13">
        <v>0.15822174090032648</v>
      </c>
      <c r="BA18" s="14">
        <v>424.98359605827693</v>
      </c>
      <c r="BB18" s="13">
        <v>0.40107454017424971</v>
      </c>
      <c r="BC18" s="14">
        <v>414.30999999999995</v>
      </c>
      <c r="BD18" s="13">
        <v>3.4179891174110244E-2</v>
      </c>
      <c r="BE18" s="14">
        <v>121.85131203570302</v>
      </c>
      <c r="BF18" s="13">
        <v>0.11343960201820846</v>
      </c>
      <c r="BG18" s="14">
        <v>566.97113088700587</v>
      </c>
      <c r="BH18" s="13">
        <v>4.9525010561601857E-4</v>
      </c>
      <c r="BI18" s="14">
        <v>2.2296159754833154</v>
      </c>
      <c r="BJ18" s="13">
        <v>0.38027784469219639</v>
      </c>
      <c r="BK18" s="14">
        <v>58141.059952834599</v>
      </c>
    </row>
    <row r="19" spans="1:63" s="15" customFormat="1" ht="63" customHeight="1" x14ac:dyDescent="0.35">
      <c r="A19" s="1" t="s">
        <v>0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1504</v>
      </c>
      <c r="C21" s="65"/>
      <c r="D21" s="65">
        <v>61</v>
      </c>
      <c r="E21" s="65"/>
      <c r="F21" s="65">
        <v>580</v>
      </c>
      <c r="G21" s="65"/>
      <c r="H21" s="65">
        <v>2400</v>
      </c>
      <c r="I21" s="65"/>
      <c r="J21" s="65">
        <v>1939</v>
      </c>
      <c r="K21" s="65"/>
      <c r="L21" s="65">
        <v>15551</v>
      </c>
      <c r="M21" s="65"/>
      <c r="N21" s="65">
        <v>853</v>
      </c>
      <c r="O21" s="65"/>
      <c r="P21" s="65">
        <v>1696</v>
      </c>
      <c r="Q21" s="65"/>
      <c r="R21" s="65">
        <v>4144</v>
      </c>
      <c r="S21" s="65"/>
      <c r="T21" s="65">
        <v>611</v>
      </c>
      <c r="U21" s="65"/>
      <c r="V21" s="65">
        <v>361</v>
      </c>
      <c r="W21" s="65"/>
      <c r="X21" s="65">
        <v>17620</v>
      </c>
      <c r="Y21" s="65"/>
      <c r="Z21" s="65">
        <v>389</v>
      </c>
      <c r="AA21" s="65"/>
      <c r="AB21" s="65">
        <v>6530</v>
      </c>
      <c r="AC21" s="65"/>
      <c r="AD21" s="65">
        <v>17</v>
      </c>
      <c r="AE21" s="65"/>
      <c r="AF21" s="65">
        <v>45730</v>
      </c>
      <c r="AG21" s="65"/>
      <c r="AH21" s="65">
        <v>1081</v>
      </c>
      <c r="AI21" s="65"/>
      <c r="AJ21" s="65">
        <v>197</v>
      </c>
      <c r="AK21" s="65"/>
      <c r="AL21" s="65">
        <v>2517</v>
      </c>
      <c r="AM21" s="65"/>
      <c r="AN21" s="65">
        <v>7449</v>
      </c>
      <c r="AO21" s="65"/>
      <c r="AP21" s="65">
        <v>5771</v>
      </c>
      <c r="AQ21" s="65"/>
      <c r="AR21" s="65" t="s">
        <v>6</v>
      </c>
      <c r="AS21" s="65"/>
      <c r="AT21" s="65">
        <v>2331</v>
      </c>
      <c r="AU21" s="65"/>
      <c r="AV21" s="65">
        <v>3891</v>
      </c>
      <c r="AW21" s="65"/>
      <c r="AX21" s="65">
        <v>2234</v>
      </c>
      <c r="AY21" s="65"/>
      <c r="AZ21" s="65">
        <v>1946</v>
      </c>
      <c r="BA21" s="65"/>
      <c r="BB21" s="65">
        <v>749</v>
      </c>
      <c r="BC21" s="65"/>
      <c r="BD21" s="65">
        <v>1939</v>
      </c>
      <c r="BE21" s="65"/>
      <c r="BF21" s="65">
        <v>3442</v>
      </c>
      <c r="BG21" s="65"/>
      <c r="BH21" s="65">
        <v>4771</v>
      </c>
      <c r="BI21" s="65"/>
      <c r="BJ21" s="65">
        <v>146862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0.15596233823379846</v>
      </c>
      <c r="C23" s="8">
        <v>234.5673567036329</v>
      </c>
      <c r="D23" s="7">
        <v>0.21323801743311546</v>
      </c>
      <c r="E23" s="8">
        <v>13.007519063420043</v>
      </c>
      <c r="F23" s="7">
        <v>0.35702121650407775</v>
      </c>
      <c r="G23" s="8">
        <v>207.07230557236508</v>
      </c>
      <c r="H23" s="7">
        <v>0.32775962777066797</v>
      </c>
      <c r="I23" s="8">
        <v>786.62310664960307</v>
      </c>
      <c r="J23" s="7">
        <v>3.3180872017722907E-2</v>
      </c>
      <c r="K23" s="8">
        <v>64.337710842364714</v>
      </c>
      <c r="L23" s="7">
        <v>5.5985361184358214E-2</v>
      </c>
      <c r="M23" s="8">
        <v>870.62835177795455</v>
      </c>
      <c r="N23" s="7"/>
      <c r="O23" s="8"/>
      <c r="P23" s="7">
        <v>0.12679793606080819</v>
      </c>
      <c r="Q23" s="8">
        <v>215.0492995591307</v>
      </c>
      <c r="R23" s="7">
        <v>0.19996939457600429</v>
      </c>
      <c r="S23" s="8">
        <v>828.67317112296178</v>
      </c>
      <c r="T23" s="7"/>
      <c r="U23" s="8"/>
      <c r="V23" s="7">
        <v>0.60815943029380626</v>
      </c>
      <c r="W23" s="8">
        <v>219.54555433606404</v>
      </c>
      <c r="X23" s="7">
        <v>0.69791415328196227</v>
      </c>
      <c r="Y23" s="8">
        <v>12297.247380828176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0.20312442738608735</v>
      </c>
      <c r="AM23" s="8">
        <v>511.26418373078184</v>
      </c>
      <c r="AN23" s="7"/>
      <c r="AO23" s="8"/>
      <c r="AP23" s="7">
        <v>2.8593919554086582E-3</v>
      </c>
      <c r="AQ23" s="8">
        <v>16.501550974663367</v>
      </c>
      <c r="AR23" s="7"/>
      <c r="AS23" s="8"/>
      <c r="AT23" s="7">
        <v>0.41052086459007964</v>
      </c>
      <c r="AU23" s="8">
        <v>956.9241353594756</v>
      </c>
      <c r="AV23" s="7">
        <v>0.10866488224140591</v>
      </c>
      <c r="AW23" s="8">
        <v>422.81505680131039</v>
      </c>
      <c r="AX23" s="7"/>
      <c r="AY23" s="8"/>
      <c r="AZ23" s="7"/>
      <c r="BA23" s="8"/>
      <c r="BB23" s="7"/>
      <c r="BC23" s="8"/>
      <c r="BD23" s="7"/>
      <c r="BE23" s="8"/>
      <c r="BF23" s="7">
        <v>2.7133467249042809E-2</v>
      </c>
      <c r="BG23" s="8">
        <v>93.393394271205352</v>
      </c>
      <c r="BH23" s="7"/>
      <c r="BI23" s="8"/>
      <c r="BJ23" s="7">
        <v>0.120777669360305</v>
      </c>
      <c r="BK23" s="8">
        <v>17737.650077593113</v>
      </c>
    </row>
    <row r="24" spans="1:63" x14ac:dyDescent="0.35">
      <c r="A24" s="6" t="s">
        <v>10</v>
      </c>
      <c r="B24" s="7">
        <v>0.20997990571843267</v>
      </c>
      <c r="C24" s="8">
        <v>315.80977820052271</v>
      </c>
      <c r="D24" s="7"/>
      <c r="E24" s="8"/>
      <c r="F24" s="7">
        <v>0.21328418585563472</v>
      </c>
      <c r="G24" s="8">
        <v>123.70482779626813</v>
      </c>
      <c r="H24" s="7">
        <v>0.16903835826850402</v>
      </c>
      <c r="I24" s="8">
        <v>405.69205984440964</v>
      </c>
      <c r="J24" s="7"/>
      <c r="K24" s="8"/>
      <c r="L24" s="7">
        <v>3.7455109344967742E-2</v>
      </c>
      <c r="M24" s="8">
        <v>582.46440542359335</v>
      </c>
      <c r="N24" s="7"/>
      <c r="O24" s="8"/>
      <c r="P24" s="7">
        <v>1.4585463629647856E-2</v>
      </c>
      <c r="Q24" s="8">
        <v>24.736946315882765</v>
      </c>
      <c r="R24" s="7"/>
      <c r="S24" s="8"/>
      <c r="T24" s="7"/>
      <c r="U24" s="8"/>
      <c r="V24" s="7">
        <v>0.1188622241612985</v>
      </c>
      <c r="W24" s="8">
        <v>42.909262922228763</v>
      </c>
      <c r="X24" s="7"/>
      <c r="Y24" s="8"/>
      <c r="Z24" s="7"/>
      <c r="AA24" s="8"/>
      <c r="AB24" s="7"/>
      <c r="AC24" s="8"/>
      <c r="AD24" s="7"/>
      <c r="AE24" s="8"/>
      <c r="AF24" s="7">
        <v>8.1062941968340879E-2</v>
      </c>
      <c r="AG24" s="8">
        <v>3707.0083362122286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3.5423224637517764E-2</v>
      </c>
      <c r="BK24" s="8">
        <v>5202.3256167151339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8.5512054363405768E-2</v>
      </c>
      <c r="M25" s="10">
        <v>1329.7979574053231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9.0547449810388196E-3</v>
      </c>
      <c r="BK25" s="10">
        <v>1329.7979574053231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0.31617986354292321</v>
      </c>
      <c r="M26" s="10">
        <v>4916.9130579559987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3.3479818182756596E-2</v>
      </c>
      <c r="BK26" s="10">
        <v>4916.9130579559987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0.16972553527957107</v>
      </c>
      <c r="I27" s="10">
        <v>407.34128467097059</v>
      </c>
      <c r="J27" s="9">
        <v>4.105813532209443E-2</v>
      </c>
      <c r="K27" s="10">
        <v>79.611724389541095</v>
      </c>
      <c r="L27" s="9">
        <v>6.8086809372938609E-2</v>
      </c>
      <c r="M27" s="10">
        <v>1058.8179725585683</v>
      </c>
      <c r="N27" s="9"/>
      <c r="O27" s="10"/>
      <c r="P27" s="9">
        <v>0.23050393949406794</v>
      </c>
      <c r="Q27" s="10">
        <v>390.93468138193924</v>
      </c>
      <c r="R27" s="9">
        <v>0.10576198581036893</v>
      </c>
      <c r="S27" s="10">
        <v>438.27766919816884</v>
      </c>
      <c r="T27" s="9">
        <v>0.22953173765164353</v>
      </c>
      <c r="U27" s="10">
        <v>140.2438917051542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8.3890752686142378E-2</v>
      </c>
      <c r="AG27" s="10">
        <v>3836.3241203372909</v>
      </c>
      <c r="AH27" s="9"/>
      <c r="AI27" s="10"/>
      <c r="AJ27" s="9"/>
      <c r="AK27" s="10"/>
      <c r="AL27" s="9"/>
      <c r="AM27" s="10"/>
      <c r="AN27" s="9">
        <v>0.34387146772248434</v>
      </c>
      <c r="AO27" s="10">
        <v>2561.4985630647857</v>
      </c>
      <c r="AP27" s="9">
        <v>7.1153379446561735E-2</v>
      </c>
      <c r="AQ27" s="10">
        <v>410.62615278610775</v>
      </c>
      <c r="AR27" s="9"/>
      <c r="AS27" s="10"/>
      <c r="AT27" s="9"/>
      <c r="AU27" s="10"/>
      <c r="AV27" s="9">
        <v>0.2830065217759955</v>
      </c>
      <c r="AW27" s="10">
        <v>1101.1783762303985</v>
      </c>
      <c r="AX27" s="9">
        <v>8.0564656503990389E-2</v>
      </c>
      <c r="AY27" s="10">
        <v>179.98144262991454</v>
      </c>
      <c r="AZ27" s="9">
        <v>0.1054412535272005</v>
      </c>
      <c r="BA27" s="10">
        <v>205.18867936393218</v>
      </c>
      <c r="BB27" s="9"/>
      <c r="BC27" s="10"/>
      <c r="BD27" s="9"/>
      <c r="BE27" s="10"/>
      <c r="BF27" s="9"/>
      <c r="BG27" s="10"/>
      <c r="BH27" s="9">
        <v>4.7369343218756244E-2</v>
      </c>
      <c r="BI27" s="10">
        <v>225.99913649668605</v>
      </c>
      <c r="BJ27" s="9">
        <v>7.5145535909993441E-2</v>
      </c>
      <c r="BK27" s="10">
        <v>11036.023694813457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5.149060973786148E-2</v>
      </c>
      <c r="M28" s="10">
        <v>800.73047203348392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5.4522645206621445E-3</v>
      </c>
      <c r="BK28" s="10">
        <v>800.73047203348392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1.9342564195569623E-2</v>
      </c>
      <c r="AG29" s="8">
        <v>884.53546066339879</v>
      </c>
      <c r="AH29" s="7"/>
      <c r="AI29" s="8"/>
      <c r="AJ29" s="7"/>
      <c r="AK29" s="8"/>
      <c r="AL29" s="7"/>
      <c r="AM29" s="8"/>
      <c r="AN29" s="7"/>
      <c r="AO29" s="8"/>
      <c r="AP29" s="7">
        <v>3.5378746659145276E-2</v>
      </c>
      <c r="AQ29" s="8">
        <v>204.17074696992739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7.4131239369838765E-3</v>
      </c>
      <c r="BK29" s="8">
        <v>1088.7062076333261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7.6143591225033697E-3</v>
      </c>
      <c r="AG30" s="10">
        <v>348.2046426720791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4.5396068609279451E-3</v>
      </c>
      <c r="BK30" s="8">
        <v>666.69574280959989</v>
      </c>
    </row>
    <row r="31" spans="1:63" x14ac:dyDescent="0.35">
      <c r="A31" s="6" t="s">
        <v>12</v>
      </c>
      <c r="B31" s="9">
        <v>1.2800000000000001E-2</v>
      </c>
      <c r="C31" s="10">
        <v>19.251200000000001</v>
      </c>
      <c r="D31" s="9">
        <v>0.8</v>
      </c>
      <c r="E31" s="10">
        <v>48.800000000000004</v>
      </c>
      <c r="F31" s="9">
        <v>0.63300000000000001</v>
      </c>
      <c r="G31" s="10">
        <v>367.14</v>
      </c>
      <c r="H31" s="9"/>
      <c r="I31" s="10"/>
      <c r="J31" s="9">
        <v>0.42670950927832718</v>
      </c>
      <c r="K31" s="10">
        <v>827.38973849067645</v>
      </c>
      <c r="L31" s="9"/>
      <c r="M31" s="10"/>
      <c r="N31" s="9">
        <v>0.92500000000000016</v>
      </c>
      <c r="O31" s="10">
        <v>789.02500000000009</v>
      </c>
      <c r="P31" s="9">
        <v>8.1948736835345412E-2</v>
      </c>
      <c r="Q31" s="10">
        <v>138.98505767274582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17</v>
      </c>
      <c r="AF31" s="9"/>
      <c r="AG31" s="10"/>
      <c r="AH31" s="9">
        <v>0.68799999999999994</v>
      </c>
      <c r="AI31" s="10">
        <v>743.72799999999995</v>
      </c>
      <c r="AJ31" s="9">
        <v>0.75</v>
      </c>
      <c r="AK31" s="10">
        <v>147.75</v>
      </c>
      <c r="AL31" s="9">
        <v>0.997</v>
      </c>
      <c r="AM31" s="10">
        <v>2509.4490000000001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0.40667556742323102</v>
      </c>
      <c r="BC31" s="10">
        <v>304.60000000000002</v>
      </c>
      <c r="BD31" s="9">
        <v>3.274956219184063E-2</v>
      </c>
      <c r="BE31" s="10">
        <v>169.38073565619973</v>
      </c>
      <c r="BF31" s="9"/>
      <c r="BG31" s="10"/>
      <c r="BH31" s="9"/>
      <c r="BI31" s="10"/>
      <c r="BJ31" s="9">
        <v>3.9783528580802516E-2</v>
      </c>
      <c r="BK31" s="10">
        <v>6082.5434682474779</v>
      </c>
    </row>
    <row r="32" spans="1:63" x14ac:dyDescent="0.35">
      <c r="A32" s="6" t="s">
        <v>13</v>
      </c>
      <c r="B32" s="7">
        <v>1.437105540999073E-3</v>
      </c>
      <c r="C32" s="8">
        <v>2.1614067336626057</v>
      </c>
      <c r="D32" s="7"/>
      <c r="E32" s="8"/>
      <c r="F32" s="7"/>
      <c r="G32" s="8"/>
      <c r="H32" s="7">
        <v>6.4153886251632156E-3</v>
      </c>
      <c r="I32" s="8">
        <v>15.396932700391718</v>
      </c>
      <c r="J32" s="7">
        <v>9.2716209338112778E-3</v>
      </c>
      <c r="K32" s="8">
        <v>17.977672990660068</v>
      </c>
      <c r="L32" s="7">
        <v>1.9759229700918299E-2</v>
      </c>
      <c r="M32" s="8">
        <v>307.27578107898046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5.1614572532150328E-2</v>
      </c>
      <c r="Y32" s="8">
        <v>909.44876801648877</v>
      </c>
      <c r="Z32" s="7"/>
      <c r="AA32" s="8"/>
      <c r="AB32" s="7"/>
      <c r="AC32" s="8"/>
      <c r="AD32" s="7"/>
      <c r="AE32" s="8"/>
      <c r="AF32" s="7">
        <v>1.4672749201005622E-2</v>
      </c>
      <c r="AG32" s="8">
        <v>670.98482096198711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1.7982258861753295E-2</v>
      </c>
      <c r="AU32" s="8">
        <v>41.91664540674693</v>
      </c>
      <c r="AV32" s="7"/>
      <c r="AW32" s="8"/>
      <c r="AX32" s="7">
        <v>8.4553202099004673E-3</v>
      </c>
      <c r="AY32" s="8">
        <v>22.710990083792655</v>
      </c>
      <c r="AZ32" s="7"/>
      <c r="BA32" s="8"/>
      <c r="BB32" s="7"/>
      <c r="BC32" s="8"/>
      <c r="BD32" s="7"/>
      <c r="BE32" s="8"/>
      <c r="BF32" s="7">
        <v>0.10034376003205855</v>
      </c>
      <c r="BG32" s="8">
        <v>345.38322203034556</v>
      </c>
      <c r="BH32" s="7">
        <v>4.9525010561601857E-4</v>
      </c>
      <c r="BI32" s="8">
        <v>2.3628382538940245</v>
      </c>
      <c r="BJ32" s="7">
        <v>2.130096301874488E-2</v>
      </c>
      <c r="BK32" s="8">
        <v>3128.3020308589107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0.84848897285045666</v>
      </c>
      <c r="AC33" s="8">
        <v>5540.6329927134821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3.7726797896756696E-2</v>
      </c>
      <c r="BK33" s="8">
        <v>5540.6329927134821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0.122</v>
      </c>
      <c r="F34" s="11"/>
      <c r="G34" s="17"/>
      <c r="H34" s="11">
        <v>1.0999999999999999E-2</v>
      </c>
      <c r="I34" s="17">
        <f>H34*H21</f>
        <v>26.4</v>
      </c>
      <c r="J34" s="11">
        <v>3.0000000000000001E-3</v>
      </c>
      <c r="K34" s="17">
        <f>J34*J21</f>
        <v>5.8170000000000002</v>
      </c>
      <c r="L34" s="11"/>
      <c r="M34" s="12"/>
      <c r="N34" s="11"/>
      <c r="O34" s="12"/>
      <c r="P34" s="11">
        <v>1E-3</v>
      </c>
      <c r="Q34" s="17">
        <f>P34*P21</f>
        <v>1.696</v>
      </c>
      <c r="R34" s="11"/>
      <c r="S34" s="17"/>
      <c r="T34" s="11"/>
      <c r="U34" s="12"/>
      <c r="V34" s="11">
        <v>1.6E-2</v>
      </c>
      <c r="W34" s="17">
        <f>V34*V21</f>
        <v>5.7759999999999998</v>
      </c>
      <c r="X34" s="11">
        <v>4.2999999999999997E-2</v>
      </c>
      <c r="Y34" s="17">
        <f>X34*X21</f>
        <v>757.66</v>
      </c>
      <c r="Z34" s="11">
        <v>0.82499999999999996</v>
      </c>
      <c r="AA34" s="17">
        <f>Z34*Z21</f>
        <v>320.92499999999995</v>
      </c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>
        <v>7.0000000000000001E-3</v>
      </c>
      <c r="AM34" s="17">
        <f>AL34*AL21</f>
        <v>17.619</v>
      </c>
      <c r="AN34" s="11"/>
      <c r="AO34" s="12"/>
      <c r="AP34" s="11">
        <v>5.0000000000000001E-3</v>
      </c>
      <c r="AQ34" s="17">
        <f>AP34*AP21</f>
        <v>28.855</v>
      </c>
      <c r="AR34" s="11"/>
      <c r="AS34" s="12"/>
      <c r="AT34" s="11">
        <v>1.9E-2</v>
      </c>
      <c r="AU34" s="17">
        <f>AT34*AT21</f>
        <v>44.289000000000001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17.21</v>
      </c>
      <c r="BH34" s="11"/>
      <c r="BI34" s="12"/>
      <c r="BJ34" s="11">
        <v>2.4021915767076792E-2</v>
      </c>
      <c r="BK34" s="12">
        <v>3527.9065933844317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8.1810669360022001E-2</v>
      </c>
      <c r="Y35" s="8">
        <v>1441.5039941235877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9.8153640432759176E-3</v>
      </c>
      <c r="BK35" s="8">
        <v>1441.5039941235877</v>
      </c>
    </row>
    <row r="36" spans="1:63" x14ac:dyDescent="0.3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4.6285556190044597E-2</v>
      </c>
      <c r="AG36" s="8">
        <v>2116.6384845707394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1.4412431293123744E-2</v>
      </c>
      <c r="BK36" s="8">
        <v>2116.6384845707394</v>
      </c>
    </row>
    <row r="37" spans="1:63" ht="58" x14ac:dyDescent="0.3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0.2810585525300795</v>
      </c>
      <c r="BK37" s="8">
        <v>41276.821141672532</v>
      </c>
    </row>
    <row r="38" spans="1:63" ht="43.5" x14ac:dyDescent="0.3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0.1502397333197566</v>
      </c>
      <c r="BK38" s="8">
        <v>22064.507714806092</v>
      </c>
    </row>
    <row r="39" spans="1:63" x14ac:dyDescent="0.35">
      <c r="A39" s="6" t="s">
        <v>204</v>
      </c>
      <c r="B39" s="13">
        <v>0.34267441854772529</v>
      </c>
      <c r="C39" s="14">
        <v>515.38232549577879</v>
      </c>
      <c r="D39" s="13">
        <v>0.84296230827964991</v>
      </c>
      <c r="E39" s="14">
        <v>51.420700805058644</v>
      </c>
      <c r="F39" s="13">
        <v>0.81435614119125388</v>
      </c>
      <c r="G39" s="14">
        <v>472.32656189092722</v>
      </c>
      <c r="H39" s="13">
        <v>0.54424819526339818</v>
      </c>
      <c r="I39" s="14">
        <v>1306.1956686321557</v>
      </c>
      <c r="J39" s="13">
        <v>0.47499672446967456</v>
      </c>
      <c r="K39" s="14">
        <v>921.018648746699</v>
      </c>
      <c r="L39" s="13">
        <v>0.50765509503274231</v>
      </c>
      <c r="M39" s="14">
        <v>7894.5443828541756</v>
      </c>
      <c r="N39" s="13">
        <v>0.92500000000000016</v>
      </c>
      <c r="O39" s="14">
        <v>789.02500000000009</v>
      </c>
      <c r="P39" s="13">
        <v>0.39274298627562976</v>
      </c>
      <c r="Q39" s="14">
        <v>666.09210472346808</v>
      </c>
      <c r="R39" s="13">
        <v>0.28458222011471779</v>
      </c>
      <c r="S39" s="14">
        <v>1179.3087201553906</v>
      </c>
      <c r="T39" s="13">
        <v>0.22953173765164347</v>
      </c>
      <c r="U39" s="14">
        <v>140.24389170515417</v>
      </c>
      <c r="V39" s="13">
        <v>0.6602587203749033</v>
      </c>
      <c r="W39" s="14">
        <v>238.35339805534008</v>
      </c>
      <c r="X39" s="13">
        <v>0.74825582514719358</v>
      </c>
      <c r="Y39" s="14">
        <v>13184.26763909355</v>
      </c>
      <c r="Z39" s="13">
        <v>0.82499999999999996</v>
      </c>
      <c r="AA39" s="14">
        <v>320.92499999999995</v>
      </c>
      <c r="AB39" s="13">
        <v>0.84848897285045666</v>
      </c>
      <c r="AC39" s="14">
        <v>5540.6329927134821</v>
      </c>
      <c r="AD39" s="13">
        <v>1</v>
      </c>
      <c r="AE39" s="14">
        <v>17</v>
      </c>
      <c r="AF39" s="13">
        <v>0.23010821755329014</v>
      </c>
      <c r="AG39" s="14">
        <v>10522.848788711957</v>
      </c>
      <c r="AH39" s="13">
        <v>0.68799999999999994</v>
      </c>
      <c r="AI39" s="14">
        <v>743.72799999999995</v>
      </c>
      <c r="AJ39" s="13">
        <v>0.75</v>
      </c>
      <c r="AK39" s="14">
        <v>147.75</v>
      </c>
      <c r="AL39" s="13">
        <v>0.99762610766918314</v>
      </c>
      <c r="AM39" s="14">
        <v>2511.0249130033339</v>
      </c>
      <c r="AN39" s="13">
        <v>0.34387146772248434</v>
      </c>
      <c r="AO39" s="14">
        <v>2561.4985630647857</v>
      </c>
      <c r="AP39" s="13">
        <v>0.11104389766059319</v>
      </c>
      <c r="AQ39" s="14">
        <v>640.83433339928331</v>
      </c>
      <c r="AR39" s="13">
        <v>0</v>
      </c>
      <c r="AS39" s="14" t="s">
        <v>68</v>
      </c>
      <c r="AT39" s="13">
        <v>0.43211973140768756</v>
      </c>
      <c r="AU39" s="14">
        <v>1007.2710939113197</v>
      </c>
      <c r="AV39" s="13">
        <v>0.36091853365506299</v>
      </c>
      <c r="AW39" s="14">
        <v>1404.3340144518502</v>
      </c>
      <c r="AX39" s="13">
        <v>8.8338776745548908E-2</v>
      </c>
      <c r="AY39" s="14">
        <v>197.34882724955625</v>
      </c>
      <c r="AZ39" s="13">
        <v>0.10544125352720046</v>
      </c>
      <c r="BA39" s="14">
        <v>205.1886793639321</v>
      </c>
      <c r="BB39" s="13">
        <v>0.40667556742323097</v>
      </c>
      <c r="BC39" s="14">
        <v>304.59999999999997</v>
      </c>
      <c r="BD39" s="13">
        <v>3.2749562191840664E-2</v>
      </c>
      <c r="BE39" s="14">
        <v>63.501401089979048</v>
      </c>
      <c r="BF39" s="13">
        <v>0.12913078038885262</v>
      </c>
      <c r="BG39" s="14">
        <v>444.46814609843074</v>
      </c>
      <c r="BH39" s="13">
        <v>4.7841133652140266E-2</v>
      </c>
      <c r="BI39" s="14">
        <v>228.25004865436122</v>
      </c>
      <c r="BJ39" s="13">
        <v>0.36414833303542427</v>
      </c>
      <c r="BK39" s="14">
        <v>53479.552486248482</v>
      </c>
    </row>
    <row r="40" spans="1:63" s="15" customFormat="1" ht="63" customHeight="1" x14ac:dyDescent="0.35">
      <c r="A40" s="1" t="s">
        <v>0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4193</v>
      </c>
      <c r="C42" s="65"/>
      <c r="D42" s="65">
        <v>180</v>
      </c>
      <c r="E42" s="65"/>
      <c r="F42" s="65">
        <v>2378</v>
      </c>
      <c r="G42" s="65"/>
      <c r="H42" s="65">
        <v>7436</v>
      </c>
      <c r="I42" s="65"/>
      <c r="J42" s="65">
        <v>5504</v>
      </c>
      <c r="K42" s="65"/>
      <c r="L42" s="65">
        <v>34729</v>
      </c>
      <c r="M42" s="65"/>
      <c r="N42" s="65">
        <v>1256</v>
      </c>
      <c r="O42" s="65"/>
      <c r="P42" s="65">
        <v>4673</v>
      </c>
      <c r="Q42" s="65"/>
      <c r="R42" s="65">
        <v>8319</v>
      </c>
      <c r="S42" s="65"/>
      <c r="T42" s="65">
        <v>858</v>
      </c>
      <c r="U42" s="65"/>
      <c r="V42" s="65">
        <v>1886</v>
      </c>
      <c r="W42" s="65"/>
      <c r="X42" s="65">
        <v>37620</v>
      </c>
      <c r="Y42" s="65"/>
      <c r="Z42" s="65">
        <v>2343</v>
      </c>
      <c r="AA42" s="65"/>
      <c r="AB42" s="65">
        <v>13187</v>
      </c>
      <c r="AC42" s="65"/>
      <c r="AD42" s="65">
        <v>142</v>
      </c>
      <c r="AE42" s="65"/>
      <c r="AF42" s="65">
        <v>46049</v>
      </c>
      <c r="AG42" s="65"/>
      <c r="AH42" s="65">
        <v>1081</v>
      </c>
      <c r="AI42" s="65"/>
      <c r="AJ42" s="65">
        <v>197</v>
      </c>
      <c r="AK42" s="65"/>
      <c r="AL42" s="65">
        <v>2517</v>
      </c>
      <c r="AM42" s="65"/>
      <c r="AN42" s="65">
        <v>7449</v>
      </c>
      <c r="AO42" s="65"/>
      <c r="AP42" s="65">
        <v>5771</v>
      </c>
      <c r="AQ42" s="65"/>
      <c r="AR42" s="65">
        <v>519</v>
      </c>
      <c r="AS42" s="65"/>
      <c r="AT42" s="65">
        <v>8483</v>
      </c>
      <c r="AU42" s="65"/>
      <c r="AV42" s="65">
        <v>10337</v>
      </c>
      <c r="AW42" s="65"/>
      <c r="AX42" s="65">
        <v>3055</v>
      </c>
      <c r="AY42" s="65"/>
      <c r="AZ42" s="65">
        <v>4632</v>
      </c>
      <c r="BA42" s="65"/>
      <c r="BB42" s="65">
        <v>1782</v>
      </c>
      <c r="BC42" s="65"/>
      <c r="BD42" s="65">
        <v>5504</v>
      </c>
      <c r="BE42" s="65"/>
      <c r="BF42" s="65">
        <v>8440</v>
      </c>
      <c r="BG42" s="65"/>
      <c r="BH42" s="65">
        <v>9273</v>
      </c>
      <c r="BI42" s="65"/>
      <c r="BJ42" s="65">
        <v>299753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0.16780384865914852</v>
      </c>
      <c r="C44" s="8">
        <v>703.60153742780972</v>
      </c>
      <c r="D44" s="7">
        <v>0.24368601813226623</v>
      </c>
      <c r="E44" s="8">
        <v>43.863483263807922</v>
      </c>
      <c r="F44" s="7">
        <v>0.37012021576829623</v>
      </c>
      <c r="G44" s="8">
        <v>880.14587309700846</v>
      </c>
      <c r="H44" s="7">
        <v>0.33470468289967054</v>
      </c>
      <c r="I44" s="8">
        <v>2488.8640220419502</v>
      </c>
      <c r="J44" s="7">
        <v>0.14677353461186082</v>
      </c>
      <c r="K44" s="8">
        <v>807.84153450368194</v>
      </c>
      <c r="L44" s="7">
        <v>6.8307042864355558E-2</v>
      </c>
      <c r="M44" s="8">
        <v>2372.2352916362042</v>
      </c>
      <c r="N44" s="7"/>
      <c r="O44" s="8"/>
      <c r="P44" s="7">
        <v>0.19919442645280261</v>
      </c>
      <c r="Q44" s="8">
        <v>930.8355548139466</v>
      </c>
      <c r="R44" s="7">
        <v>0.21548835572394398</v>
      </c>
      <c r="S44" s="8">
        <v>1792.6476312674899</v>
      </c>
      <c r="T44" s="7"/>
      <c r="U44" s="8"/>
      <c r="V44" s="7">
        <v>0.63513027846522219</v>
      </c>
      <c r="W44" s="8">
        <v>1197.8557051854091</v>
      </c>
      <c r="X44" s="7">
        <v>0.7195500849785964</v>
      </c>
      <c r="Y44" s="8">
        <v>27069.474196894796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0.20312442738608735</v>
      </c>
      <c r="AM44" s="8">
        <v>511.26418373078184</v>
      </c>
      <c r="AN44" s="7"/>
      <c r="AO44" s="8"/>
      <c r="AP44" s="7">
        <v>2.8593919554086582E-3</v>
      </c>
      <c r="AQ44" s="8">
        <v>16.501550974663367</v>
      </c>
      <c r="AR44" s="7"/>
      <c r="AS44" s="8"/>
      <c r="AT44" s="7">
        <v>0.44405157158051028</v>
      </c>
      <c r="AU44" s="8">
        <v>3766.8894817174687</v>
      </c>
      <c r="AV44" s="7">
        <v>0.1269607507747878</v>
      </c>
      <c r="AW44" s="8">
        <v>1312.3932807589815</v>
      </c>
      <c r="AX44" s="7"/>
      <c r="AY44" s="8"/>
      <c r="AZ44" s="7"/>
      <c r="BA44" s="8"/>
      <c r="BB44" s="7"/>
      <c r="BC44" s="8"/>
      <c r="BD44" s="7"/>
      <c r="BE44" s="8"/>
      <c r="BF44" s="7">
        <v>2.5873667958268148E-2</v>
      </c>
      <c r="BG44" s="8">
        <v>218.37375756778317</v>
      </c>
      <c r="BH44" s="7"/>
      <c r="BI44" s="8"/>
      <c r="BJ44" s="7">
        <v>0.14716378846877856</v>
      </c>
      <c r="BK44" s="8">
        <v>44112.787084881784</v>
      </c>
    </row>
    <row r="45" spans="1:63" x14ac:dyDescent="0.35">
      <c r="A45" s="6" t="s">
        <v>10</v>
      </c>
      <c r="B45" s="7">
        <v>0.34532280241884433</v>
      </c>
      <c r="C45" s="8">
        <v>1447.9385105422143</v>
      </c>
      <c r="D45" s="7"/>
      <c r="E45" s="8"/>
      <c r="F45" s="7">
        <v>0.3782395776797256</v>
      </c>
      <c r="G45" s="8">
        <v>899.45371572238753</v>
      </c>
      <c r="H45" s="7">
        <v>0.12532688684363019</v>
      </c>
      <c r="I45" s="8">
        <v>931.93073056923413</v>
      </c>
      <c r="J45" s="7"/>
      <c r="K45" s="8"/>
      <c r="L45" s="7">
        <v>6.0854794206700549E-2</v>
      </c>
      <c r="M45" s="8">
        <v>2113.4261480045034</v>
      </c>
      <c r="N45" s="7"/>
      <c r="O45" s="8"/>
      <c r="P45" s="7">
        <v>7.1281791567283787E-2</v>
      </c>
      <c r="Q45" s="8">
        <v>333.09981199391711</v>
      </c>
      <c r="R45" s="7"/>
      <c r="S45" s="8"/>
      <c r="T45" s="7"/>
      <c r="U45" s="8"/>
      <c r="V45" s="7">
        <v>0.2138465547616531</v>
      </c>
      <c r="W45" s="8">
        <v>403.31460228047774</v>
      </c>
      <c r="X45" s="7"/>
      <c r="Y45" s="8"/>
      <c r="Z45" s="7"/>
      <c r="AA45" s="8"/>
      <c r="AB45" s="7"/>
      <c r="AC45" s="8"/>
      <c r="AD45" s="7"/>
      <c r="AE45" s="8"/>
      <c r="AF45" s="7">
        <v>8.0501386267068306E-2</v>
      </c>
      <c r="AG45" s="8">
        <v>3707.0083362122286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3.2814256589008162E-2</v>
      </c>
      <c r="BK45" s="8">
        <v>9836.171855324963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0.12744590086024518</v>
      </c>
      <c r="M46" s="10">
        <v>4426.068690975455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1.4765719412234255E-2</v>
      </c>
      <c r="BK46" s="10">
        <v>4426.068690975455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0.27728024648466937</v>
      </c>
      <c r="M47" s="10">
        <v>9629.6656801660829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3.2125335460082408E-2</v>
      </c>
      <c r="BK47" s="10">
        <v>9629.6656801660829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0.26868410363912815</v>
      </c>
      <c r="I48" s="10">
        <v>1997.9349946605571</v>
      </c>
      <c r="J48" s="9">
        <v>6.0301854673516092E-2</v>
      </c>
      <c r="K48" s="10">
        <v>331.90140812303258</v>
      </c>
      <c r="L48" s="9">
        <v>0.11497019278808419</v>
      </c>
      <c r="M48" s="10">
        <v>3992.7998253373762</v>
      </c>
      <c r="N48" s="9"/>
      <c r="O48" s="10"/>
      <c r="P48" s="9">
        <v>0.23298463364968613</v>
      </c>
      <c r="Q48" s="10">
        <v>1088.7371930449833</v>
      </c>
      <c r="R48" s="9">
        <v>0.12302385854006308</v>
      </c>
      <c r="S48" s="10">
        <v>1023.4354791947848</v>
      </c>
      <c r="T48" s="9">
        <v>0.19935059468118257</v>
      </c>
      <c r="U48" s="10">
        <v>171.04281023645464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8.330960759923757E-2</v>
      </c>
      <c r="AG48" s="10">
        <v>3836.3241203372909</v>
      </c>
      <c r="AH48" s="9"/>
      <c r="AI48" s="10"/>
      <c r="AJ48" s="9"/>
      <c r="AK48" s="10"/>
      <c r="AL48" s="9"/>
      <c r="AM48" s="10"/>
      <c r="AN48" s="9">
        <v>0.34387146772248434</v>
      </c>
      <c r="AO48" s="10">
        <v>2561.4985630647857</v>
      </c>
      <c r="AP48" s="9">
        <v>7.1153379446561735E-2</v>
      </c>
      <c r="AQ48" s="10">
        <v>410.62615278610775</v>
      </c>
      <c r="AR48" s="9"/>
      <c r="AS48" s="10"/>
      <c r="AT48" s="9"/>
      <c r="AU48" s="10"/>
      <c r="AV48" s="9">
        <v>0.23877068124811285</v>
      </c>
      <c r="AW48" s="10">
        <v>2468.1725320617425</v>
      </c>
      <c r="AX48" s="9">
        <v>8.4093080954993835E-2</v>
      </c>
      <c r="AY48" s="10">
        <v>256.90436231750618</v>
      </c>
      <c r="AZ48" s="9">
        <v>0.13604755514296399</v>
      </c>
      <c r="BA48" s="10">
        <v>630.17227542220917</v>
      </c>
      <c r="BB48" s="9"/>
      <c r="BC48" s="10"/>
      <c r="BD48" s="9"/>
      <c r="BE48" s="10"/>
      <c r="BF48" s="9"/>
      <c r="BG48" s="10"/>
      <c r="BH48" s="9">
        <v>2.4371739080846118E-2</v>
      </c>
      <c r="BI48" s="10">
        <v>225.99913649668605</v>
      </c>
      <c r="BJ48" s="9">
        <v>6.337067136303394E-2</v>
      </c>
      <c r="BK48" s="10">
        <v>18995.548853083514</v>
      </c>
    </row>
    <row r="49" spans="1:63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4.5920047374656839E-2</v>
      </c>
      <c r="M49" s="10">
        <v>1594.7573252744573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5.3202380802676117E-3</v>
      </c>
      <c r="BK49" s="10">
        <v>1594.7573252744573</v>
      </c>
    </row>
    <row r="50" spans="1:63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1.9203149248043914E-2</v>
      </c>
      <c r="AG50" s="8">
        <v>884.53546066339879</v>
      </c>
      <c r="AH50" s="7"/>
      <c r="AI50" s="8"/>
      <c r="AJ50" s="7"/>
      <c r="AK50" s="8"/>
      <c r="AL50" s="7"/>
      <c r="AM50" s="8"/>
      <c r="AN50" s="7"/>
      <c r="AO50" s="8"/>
      <c r="AP50" s="7">
        <v>3.5378746659145276E-2</v>
      </c>
      <c r="AQ50" s="8">
        <v>204.17074696992739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3.6320110478738365E-3</v>
      </c>
      <c r="BK50" s="8">
        <v>1088.7062076333261</v>
      </c>
    </row>
    <row r="51" spans="1:63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7.5616113850915136E-3</v>
      </c>
      <c r="AG51" s="10">
        <v>348.2046426720791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2.2241503598282582E-3</v>
      </c>
      <c r="BK51" s="8">
        <v>666.69574280959989</v>
      </c>
    </row>
    <row r="52" spans="1:63" x14ac:dyDescent="0.35">
      <c r="A52" s="6" t="s">
        <v>12</v>
      </c>
      <c r="B52" s="9">
        <v>1.2800000000000001E-2</v>
      </c>
      <c r="C52" s="10">
        <v>53.670400000000001</v>
      </c>
      <c r="D52" s="9">
        <v>0.8</v>
      </c>
      <c r="E52" s="10">
        <v>144</v>
      </c>
      <c r="F52" s="9">
        <v>0.70180487804878044</v>
      </c>
      <c r="G52" s="10">
        <v>1668.8919999999998</v>
      </c>
      <c r="H52" s="9"/>
      <c r="I52" s="10"/>
      <c r="J52" s="9">
        <v>0.40010763922069509</v>
      </c>
      <c r="K52" s="10">
        <v>2202.1924462707057</v>
      </c>
      <c r="L52" s="9"/>
      <c r="M52" s="10"/>
      <c r="N52" s="9">
        <v>0.91280732484076443</v>
      </c>
      <c r="O52" s="10">
        <v>1146.4860000000001</v>
      </c>
      <c r="P52" s="9">
        <v>9.1161757563262627E-2</v>
      </c>
      <c r="Q52" s="10">
        <v>425.99889309312624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142</v>
      </c>
      <c r="AF52" s="9"/>
      <c r="AG52" s="10"/>
      <c r="AH52" s="9">
        <v>0.68799999999999994</v>
      </c>
      <c r="AI52" s="10">
        <v>743.72799999999995</v>
      </c>
      <c r="AJ52" s="9">
        <v>0.75</v>
      </c>
      <c r="AK52" s="10">
        <v>147.75</v>
      </c>
      <c r="AL52" s="9">
        <v>0.997</v>
      </c>
      <c r="AM52" s="10">
        <v>2509.4490000000001</v>
      </c>
      <c r="AN52" s="9"/>
      <c r="AO52" s="10"/>
      <c r="AP52" s="9"/>
      <c r="AQ52" s="10"/>
      <c r="AR52" s="9">
        <v>0.63300000000000001</v>
      </c>
      <c r="AS52" s="10">
        <v>328.52699999999999</v>
      </c>
      <c r="AT52" s="9"/>
      <c r="AU52" s="10"/>
      <c r="AV52" s="9"/>
      <c r="AW52" s="10"/>
      <c r="AX52" s="9"/>
      <c r="AY52" s="10"/>
      <c r="AZ52" s="9"/>
      <c r="BA52" s="10"/>
      <c r="BB52" s="9">
        <v>0.40342873176206512</v>
      </c>
      <c r="BC52" s="10">
        <v>718.91000000000008</v>
      </c>
      <c r="BD52" s="9">
        <v>3.3543259375805705E-2</v>
      </c>
      <c r="BE52" s="10">
        <v>389.77267394686226</v>
      </c>
      <c r="BF52" s="9"/>
      <c r="BG52" s="10"/>
      <c r="BH52" s="9"/>
      <c r="BI52" s="10"/>
      <c r="BJ52" s="9">
        <v>3.5434560795176047E-2</v>
      </c>
      <c r="BK52" s="10">
        <v>10621.615902036407</v>
      </c>
    </row>
    <row r="53" spans="1:63" x14ac:dyDescent="0.35">
      <c r="A53" s="6" t="s">
        <v>13</v>
      </c>
      <c r="B53" s="7">
        <v>1.437105540999073E-3</v>
      </c>
      <c r="C53" s="8">
        <v>6.025783533409113</v>
      </c>
      <c r="D53" s="7"/>
      <c r="E53" s="8"/>
      <c r="F53" s="7"/>
      <c r="G53" s="8"/>
      <c r="H53" s="7">
        <v>4.3836511318872612E-3</v>
      </c>
      <c r="I53" s="8">
        <v>32.596829816713672</v>
      </c>
      <c r="J53" s="7">
        <v>6.0330671547415109E-3</v>
      </c>
      <c r="K53" s="8">
        <v>33.206001619697275</v>
      </c>
      <c r="L53" s="7">
        <v>1.5316983214619767E-2</v>
      </c>
      <c r="M53" s="8">
        <v>531.94351006052989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4.9956486262579536E-2</v>
      </c>
      <c r="Y53" s="8">
        <v>1879.363013198242</v>
      </c>
      <c r="Z53" s="7"/>
      <c r="AA53" s="8"/>
      <c r="AB53" s="7"/>
      <c r="AC53" s="8"/>
      <c r="AD53" s="7"/>
      <c r="AE53" s="8"/>
      <c r="AF53" s="7">
        <v>1.4575199762767492E-2</v>
      </c>
      <c r="AG53" s="8">
        <v>671.17337387568023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2.015790427021728E-2</v>
      </c>
      <c r="AU53" s="8">
        <v>170.9995019242532</v>
      </c>
      <c r="AV53" s="7"/>
      <c r="AW53" s="8"/>
      <c r="AX53" s="7">
        <v>7.5189073213917709E-3</v>
      </c>
      <c r="AY53" s="8">
        <v>26.368807976120941</v>
      </c>
      <c r="AZ53" s="7"/>
      <c r="BA53" s="8"/>
      <c r="BB53" s="7"/>
      <c r="BC53" s="8"/>
      <c r="BD53" s="7"/>
      <c r="BE53" s="8"/>
      <c r="BF53" s="7">
        <v>8.974364802689988E-2</v>
      </c>
      <c r="BG53" s="8">
        <v>757.43638934703495</v>
      </c>
      <c r="BH53" s="7">
        <v>4.9525010561601857E-4</v>
      </c>
      <c r="BI53" s="8">
        <v>4.5924542293773403</v>
      </c>
      <c r="BJ53" s="7">
        <v>1.9359789288116134E-2</v>
      </c>
      <c r="BK53" s="8">
        <v>5803.1549184806754</v>
      </c>
    </row>
    <row r="54" spans="1:63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0.86751711991528291</v>
      </c>
      <c r="AC54" s="8">
        <v>11439.948260322835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3.8164583041113302E-2</v>
      </c>
      <c r="BK54" s="8">
        <v>11439.948260322835</v>
      </c>
    </row>
    <row r="55" spans="1:63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0.9</v>
      </c>
      <c r="F55" s="11"/>
      <c r="G55" s="17"/>
      <c r="H55" s="11">
        <v>2.5999999999999999E-2</v>
      </c>
      <c r="I55" s="17">
        <f>H55*H42</f>
        <v>193.33599999999998</v>
      </c>
      <c r="J55" s="11">
        <v>0.02</v>
      </c>
      <c r="K55" s="17">
        <f>J55*J42</f>
        <v>110.08</v>
      </c>
      <c r="L55" s="11"/>
      <c r="M55" s="12"/>
      <c r="N55" s="11"/>
      <c r="O55" s="12"/>
      <c r="P55" s="11">
        <v>2E-3</v>
      </c>
      <c r="Q55" s="17">
        <f>P55*P42</f>
        <v>9.3460000000000001</v>
      </c>
      <c r="R55" s="11"/>
      <c r="S55" s="17"/>
      <c r="T55" s="11"/>
      <c r="U55" s="12"/>
      <c r="V55" s="11">
        <v>2.7E-2</v>
      </c>
      <c r="W55" s="17">
        <f>V55*V42</f>
        <v>50.921999999999997</v>
      </c>
      <c r="X55" s="11">
        <v>0.13200000000000001</v>
      </c>
      <c r="Y55" s="17">
        <f>X55*X42</f>
        <v>4965.84</v>
      </c>
      <c r="Z55" s="11">
        <v>0.94399999999999995</v>
      </c>
      <c r="AA55" s="17">
        <f>Z55*Z42</f>
        <v>2211.7919999999999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7">
        <f>AL55*AL42</f>
        <v>17.619</v>
      </c>
      <c r="AN55" s="11"/>
      <c r="AO55" s="12"/>
      <c r="AP55" s="11">
        <v>5.0000000000000001E-3</v>
      </c>
      <c r="AQ55" s="17">
        <f>AP55*AP42</f>
        <v>28.855</v>
      </c>
      <c r="AR55" s="11"/>
      <c r="AS55" s="12"/>
      <c r="AT55" s="11">
        <v>5.7000000000000002E-2</v>
      </c>
      <c r="AU55" s="17">
        <f>AT55*AT42</f>
        <v>483.53100000000001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59.08</v>
      </c>
      <c r="BH55" s="11"/>
      <c r="BI55" s="12"/>
      <c r="BJ55" s="11">
        <v>3.6956793487810446E-2</v>
      </c>
      <c r="BK55" s="12">
        <v>11077.909718351644</v>
      </c>
    </row>
    <row r="56" spans="1:63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8.1810669360022001E-2</v>
      </c>
      <c r="Y56" s="8">
        <v>3077.7173813240279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1.0267511522233399E-2</v>
      </c>
      <c r="BK56" s="8">
        <v>3077.7173813240279</v>
      </c>
    </row>
    <row r="57" spans="1:63" x14ac:dyDescent="0.3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4.5964917469885111E-2</v>
      </c>
      <c r="AG57" s="8">
        <v>2116.6384845707394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7.0612753986473509E-3</v>
      </c>
      <c r="BK57" s="8">
        <v>2116.6384845707394</v>
      </c>
    </row>
    <row r="58" spans="1:63" ht="58" x14ac:dyDescent="0.3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0.29516744707979814</v>
      </c>
      <c r="BK58" s="8">
        <v>88477.32776451073</v>
      </c>
    </row>
    <row r="59" spans="1:63" ht="43.5" x14ac:dyDescent="0.3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0.1407499681874238</v>
      </c>
      <c r="BK59" s="8">
        <v>42190.22521408485</v>
      </c>
    </row>
    <row r="60" spans="1:63" x14ac:dyDescent="0.35">
      <c r="A60" s="6" t="s">
        <v>204</v>
      </c>
      <c r="B60" s="13">
        <v>0.4629267914907238</v>
      </c>
      <c r="C60" s="14">
        <v>1941.052036720605</v>
      </c>
      <c r="D60" s="13">
        <v>0.84949351760832104</v>
      </c>
      <c r="E60" s="14">
        <v>152.9088331694978</v>
      </c>
      <c r="F60" s="13">
        <v>0.88321655599202686</v>
      </c>
      <c r="G60" s="14">
        <v>2100.2889701490399</v>
      </c>
      <c r="H60" s="13">
        <v>0.58731732843875628</v>
      </c>
      <c r="I60" s="14">
        <v>4367.2916542705916</v>
      </c>
      <c r="J60" s="13">
        <v>0.53148442651235595</v>
      </c>
      <c r="K60" s="14">
        <v>2925.290283524007</v>
      </c>
      <c r="L60" s="13">
        <v>0.54121737464469433</v>
      </c>
      <c r="M60" s="14">
        <v>18795.938204035589</v>
      </c>
      <c r="N60" s="13">
        <v>0.91280732484076443</v>
      </c>
      <c r="O60" s="14">
        <v>1146.4860000000001</v>
      </c>
      <c r="P60" s="13">
        <v>0.48259306354038844</v>
      </c>
      <c r="Q60" s="14">
        <v>2255.1573859242353</v>
      </c>
      <c r="R60" s="13">
        <v>0.31200200527239375</v>
      </c>
      <c r="S60" s="14">
        <v>2595.5446818610435</v>
      </c>
      <c r="T60" s="13">
        <v>0.19935059468118255</v>
      </c>
      <c r="U60" s="14">
        <v>171.04281023645461</v>
      </c>
      <c r="V60" s="13">
        <v>0.72090118824576666</v>
      </c>
      <c r="W60" s="14">
        <v>1359.6196410315158</v>
      </c>
      <c r="X60" s="13">
        <v>0.78765072766628563</v>
      </c>
      <c r="Y60" s="14">
        <v>29631.420374805664</v>
      </c>
      <c r="Z60" s="13">
        <v>0.94399999999999995</v>
      </c>
      <c r="AA60" s="14">
        <v>2211.7919999999999</v>
      </c>
      <c r="AB60" s="13">
        <v>0.86751711991528291</v>
      </c>
      <c r="AC60" s="14">
        <v>11439.948260322835</v>
      </c>
      <c r="AD60" s="13">
        <v>1</v>
      </c>
      <c r="AE60" s="14">
        <v>142</v>
      </c>
      <c r="AF60" s="13">
        <v>0.22866292026438784</v>
      </c>
      <c r="AG60" s="14">
        <v>10529.698815254795</v>
      </c>
      <c r="AH60" s="13">
        <v>0.68799999999999994</v>
      </c>
      <c r="AI60" s="14">
        <v>743.72799999999995</v>
      </c>
      <c r="AJ60" s="13">
        <v>0.75</v>
      </c>
      <c r="AK60" s="14">
        <v>147.75</v>
      </c>
      <c r="AL60" s="13">
        <v>0.99762610766918314</v>
      </c>
      <c r="AM60" s="14">
        <v>2511.0249130033339</v>
      </c>
      <c r="AN60" s="13">
        <v>0.34387146772248434</v>
      </c>
      <c r="AO60" s="14">
        <v>2561.4985630647857</v>
      </c>
      <c r="AP60" s="13">
        <v>0.11104389766059319</v>
      </c>
      <c r="AQ60" s="14">
        <v>640.83433339928331</v>
      </c>
      <c r="AR60" s="13">
        <v>0.63300000000000001</v>
      </c>
      <c r="AS60" s="14">
        <v>328.52699999999999</v>
      </c>
      <c r="AT60" s="13">
        <v>0.48630860215332128</v>
      </c>
      <c r="AU60" s="14">
        <v>4125.3558720666242</v>
      </c>
      <c r="AV60" s="13">
        <v>0.33541692706863269</v>
      </c>
      <c r="AW60" s="14">
        <v>3467.204775108456</v>
      </c>
      <c r="AX60" s="13">
        <v>9.0979700194314672E-2</v>
      </c>
      <c r="AY60" s="14">
        <v>277.94298409363131</v>
      </c>
      <c r="AZ60" s="13">
        <v>0.13604755514296396</v>
      </c>
      <c r="BA60" s="14">
        <v>630.17227542220905</v>
      </c>
      <c r="BB60" s="13">
        <v>0.40342873176206506</v>
      </c>
      <c r="BC60" s="14">
        <v>718.91</v>
      </c>
      <c r="BD60" s="13">
        <v>3.3543259375805712E-2</v>
      </c>
      <c r="BE60" s="14">
        <v>184.62209960443465</v>
      </c>
      <c r="BF60" s="13">
        <v>0.119502251404313</v>
      </c>
      <c r="BG60" s="14">
        <v>1008.5990018524</v>
      </c>
      <c r="BH60" s="13">
        <v>2.4854919080108284E-2</v>
      </c>
      <c r="BI60" s="14">
        <v>230.47966462984411</v>
      </c>
      <c r="BJ60" s="13">
        <v>0.3727131993204198</v>
      </c>
      <c r="BK60" s="14">
        <v>111721.8996358938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K60"/>
  <sheetViews>
    <sheetView zoomScale="80" zoomScaleNormal="80" workbookViewId="0"/>
  </sheetViews>
  <sheetFormatPr defaultRowHeight="14.5" x14ac:dyDescent="0.35"/>
  <cols>
    <col min="1" max="1" width="26.54296875" customWidth="1"/>
  </cols>
  <sheetData>
    <row r="1" spans="1:63" s="15" customFormat="1" ht="63" customHeight="1" x14ac:dyDescent="0.35">
      <c r="A1" s="1" t="s">
        <v>23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35">
      <c r="A3" s="2" t="s">
        <v>5</v>
      </c>
      <c r="B3" s="65">
        <v>353</v>
      </c>
      <c r="C3" s="65"/>
      <c r="D3" s="65">
        <v>23</v>
      </c>
      <c r="E3" s="65"/>
      <c r="F3" s="65">
        <v>241</v>
      </c>
      <c r="G3" s="65"/>
      <c r="H3" s="65">
        <v>595</v>
      </c>
      <c r="I3" s="65"/>
      <c r="J3" s="65">
        <v>385</v>
      </c>
      <c r="K3" s="65"/>
      <c r="L3" s="65">
        <v>1975</v>
      </c>
      <c r="M3" s="65"/>
      <c r="N3" s="65">
        <v>48</v>
      </c>
      <c r="O3" s="65"/>
      <c r="P3" s="65">
        <v>395</v>
      </c>
      <c r="Q3" s="65"/>
      <c r="R3" s="65">
        <v>399</v>
      </c>
      <c r="S3" s="65"/>
      <c r="T3" s="65">
        <v>20</v>
      </c>
      <c r="U3" s="65"/>
      <c r="V3" s="65">
        <v>236</v>
      </c>
      <c r="W3" s="65"/>
      <c r="X3" s="65">
        <v>2531</v>
      </c>
      <c r="Y3" s="65"/>
      <c r="Z3" s="65">
        <v>186</v>
      </c>
      <c r="AA3" s="65"/>
      <c r="AB3" s="65">
        <v>676</v>
      </c>
      <c r="AC3" s="65"/>
      <c r="AD3" s="65">
        <v>7</v>
      </c>
      <c r="AE3" s="65"/>
      <c r="AF3" s="65"/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71</v>
      </c>
      <c r="AS3" s="65"/>
      <c r="AT3" s="65">
        <v>551</v>
      </c>
      <c r="AU3" s="65"/>
      <c r="AV3" s="65">
        <v>703</v>
      </c>
      <c r="AW3" s="65"/>
      <c r="AX3" s="65">
        <v>77</v>
      </c>
      <c r="AY3" s="65"/>
      <c r="AZ3" s="65">
        <v>280</v>
      </c>
      <c r="BA3" s="65"/>
      <c r="BB3" s="65">
        <v>73</v>
      </c>
      <c r="BC3" s="65"/>
      <c r="BD3" s="65">
        <v>528</v>
      </c>
      <c r="BE3" s="65"/>
      <c r="BF3" s="65">
        <v>365</v>
      </c>
      <c r="BG3" s="65"/>
      <c r="BH3" s="65">
        <v>441</v>
      </c>
      <c r="BI3" s="65"/>
      <c r="BJ3" s="65">
        <v>15184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0.18646992776014013</v>
      </c>
      <c r="C5" s="8">
        <v>65.823884499329466</v>
      </c>
      <c r="D5" s="7">
        <v>0.24823257493085046</v>
      </c>
      <c r="E5" s="8">
        <v>5.7093492234095606</v>
      </c>
      <c r="F5" s="7">
        <v>0.3912298602469253</v>
      </c>
      <c r="G5" s="8">
        <v>94.286396319508995</v>
      </c>
      <c r="H5" s="7">
        <v>0.33922558886327819</v>
      </c>
      <c r="I5" s="8">
        <v>201.83922537365052</v>
      </c>
      <c r="J5" s="7">
        <v>0.21010014075767344</v>
      </c>
      <c r="K5" s="8">
        <v>80.888554191704273</v>
      </c>
      <c r="L5" s="7">
        <v>7.4576481027553709E-2</v>
      </c>
      <c r="M5" s="8">
        <v>147.28855002941859</v>
      </c>
      <c r="N5" s="7"/>
      <c r="O5" s="8"/>
      <c r="P5" s="7">
        <v>0.2361925616068449</v>
      </c>
      <c r="Q5" s="8">
        <v>93.296061834703735</v>
      </c>
      <c r="R5" s="7">
        <v>0.25015624114831997</v>
      </c>
      <c r="S5" s="8">
        <v>99.812340218179671</v>
      </c>
      <c r="T5" s="7"/>
      <c r="U5" s="8"/>
      <c r="V5" s="7">
        <v>0.65795599583793241</v>
      </c>
      <c r="W5" s="8">
        <v>155.27761501775205</v>
      </c>
      <c r="X5" s="7">
        <v>0.74830054892017306</v>
      </c>
      <c r="Y5" s="8">
        <v>1893.9486893169581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0.46901415429977245</v>
      </c>
      <c r="AU5" s="8">
        <v>258.42679901917461</v>
      </c>
      <c r="AV5" s="7">
        <v>0.13676441836614497</v>
      </c>
      <c r="AW5" s="8">
        <v>96.145386111399915</v>
      </c>
      <c r="AX5" s="7"/>
      <c r="AY5" s="8"/>
      <c r="AZ5" s="7"/>
      <c r="BA5" s="8"/>
      <c r="BB5" s="7"/>
      <c r="BC5" s="8"/>
      <c r="BD5" s="7"/>
      <c r="BE5" s="8"/>
      <c r="BF5" s="7">
        <v>3.2166428003182611E-2</v>
      </c>
      <c r="BG5" s="8">
        <v>11.740746221161652</v>
      </c>
      <c r="BH5" s="7"/>
      <c r="BI5" s="8"/>
      <c r="BJ5" s="7">
        <v>0.21104344029085562</v>
      </c>
      <c r="BK5" s="8">
        <v>3204.4835973763516</v>
      </c>
    </row>
    <row r="6" spans="1:63" x14ac:dyDescent="0.35">
      <c r="A6" s="6" t="s">
        <v>10</v>
      </c>
      <c r="B6" s="7">
        <v>0.41730714976608674</v>
      </c>
      <c r="C6" s="8">
        <v>147.30942386742862</v>
      </c>
      <c r="D6" s="7"/>
      <c r="E6" s="8"/>
      <c r="F6" s="7">
        <v>0.43374378595044105</v>
      </c>
      <c r="G6" s="8">
        <v>104.53225241405629</v>
      </c>
      <c r="H6" s="7">
        <v>0.10968786743743264</v>
      </c>
      <c r="I6" s="8">
        <v>65.264281125272419</v>
      </c>
      <c r="J6" s="7"/>
      <c r="K6" s="8"/>
      <c r="L6" s="7">
        <v>8.0443161830353091E-2</v>
      </c>
      <c r="M6" s="8">
        <v>158.87524461494735</v>
      </c>
      <c r="N6" s="7"/>
      <c r="O6" s="8"/>
      <c r="P6" s="7">
        <v>9.8185758770637982E-2</v>
      </c>
      <c r="Q6" s="8">
        <v>38.783374714402001</v>
      </c>
      <c r="R6" s="7"/>
      <c r="S6" s="8"/>
      <c r="T6" s="7"/>
      <c r="U6" s="8"/>
      <c r="V6" s="7">
        <v>0.2429072305449308</v>
      </c>
      <c r="W6" s="8">
        <v>57.326106408603671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3.7677205159688511E-2</v>
      </c>
      <c r="BK6" s="8">
        <v>572.0906831447104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0.17510447249467734</v>
      </c>
      <c r="M7" s="10">
        <v>345.83133317698775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2.2776036168136705E-2</v>
      </c>
      <c r="BK7" s="10">
        <v>345.83133317698775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0.26780153605303664</v>
      </c>
      <c r="M8" s="10">
        <v>528.90803370474737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3.4833247741355856E-2</v>
      </c>
      <c r="BK8" s="10">
        <v>528.90803370474737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0.31287386144433815</v>
      </c>
      <c r="I9" s="10">
        <v>186.15994755938121</v>
      </c>
      <c r="J9" s="9">
        <v>8.5512799108922524E-2</v>
      </c>
      <c r="K9" s="10">
        <v>32.92242765693517</v>
      </c>
      <c r="L9" s="9">
        <v>0.16152074831743679</v>
      </c>
      <c r="M9" s="10">
        <v>319.00347792693765</v>
      </c>
      <c r="N9" s="9"/>
      <c r="O9" s="10"/>
      <c r="P9" s="9">
        <v>0.24951842246307873</v>
      </c>
      <c r="Q9" s="10">
        <v>98.559776872916103</v>
      </c>
      <c r="R9" s="9">
        <v>0.14843517141247581</v>
      </c>
      <c r="S9" s="10">
        <v>59.225633393577851</v>
      </c>
      <c r="T9" s="9">
        <v>0.13676495417511075</v>
      </c>
      <c r="U9" s="10">
        <v>2.7352990835022153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0.22239370823041488</v>
      </c>
      <c r="AW9" s="10">
        <v>156.34277688598166</v>
      </c>
      <c r="AX9" s="9">
        <v>9.6022352284550305E-2</v>
      </c>
      <c r="AY9" s="10">
        <v>7.393721125910373</v>
      </c>
      <c r="AZ9" s="9">
        <v>0.16769188938539184</v>
      </c>
      <c r="BA9" s="10">
        <v>46.953729027909716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5.9885194252703625E-2</v>
      </c>
      <c r="BK9" s="10">
        <v>909.29678953305188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4.2992661276065991E-2</v>
      </c>
      <c r="M10" s="10">
        <v>84.910506020230329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5.5921039265167498E-3</v>
      </c>
      <c r="BK10" s="10">
        <v>84.910506020230329</v>
      </c>
    </row>
    <row r="11" spans="1:63" x14ac:dyDescent="0.35">
      <c r="A11" s="6" t="s">
        <v>12</v>
      </c>
      <c r="B11" s="7">
        <v>1.2800000000000002E-2</v>
      </c>
      <c r="C11" s="8">
        <v>4.5184000000000006</v>
      </c>
      <c r="D11" s="7">
        <v>0.8</v>
      </c>
      <c r="E11" s="8">
        <v>18.400000000000002</v>
      </c>
      <c r="F11" s="7">
        <v>0.72399999999999987</v>
      </c>
      <c r="G11" s="8">
        <v>174.48399999999998</v>
      </c>
      <c r="H11" s="7"/>
      <c r="I11" s="8"/>
      <c r="J11" s="7">
        <v>0.53612699525154606</v>
      </c>
      <c r="K11" s="8">
        <v>206.40889317184525</v>
      </c>
      <c r="L11" s="7"/>
      <c r="M11" s="8"/>
      <c r="N11" s="7">
        <v>0.88700000000000001</v>
      </c>
      <c r="O11" s="8">
        <v>42.576000000000001</v>
      </c>
      <c r="P11" s="7">
        <v>0.14070746182928762</v>
      </c>
      <c r="Q11" s="8">
        <v>55.579447422568613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7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44.942999999999998</v>
      </c>
      <c r="AT11" s="7"/>
      <c r="AU11" s="8"/>
      <c r="AV11" s="7"/>
      <c r="AW11" s="8"/>
      <c r="AX11" s="7"/>
      <c r="AY11" s="8"/>
      <c r="AZ11" s="7"/>
      <c r="BA11" s="8"/>
      <c r="BB11" s="7">
        <v>0.41246575342465752</v>
      </c>
      <c r="BC11" s="8">
        <v>30.11</v>
      </c>
      <c r="BD11" s="7">
        <v>4.2388602471691426E-2</v>
      </c>
      <c r="BE11" s="8">
        <v>24.246280613807496</v>
      </c>
      <c r="BF11" s="7"/>
      <c r="BG11" s="8"/>
      <c r="BH11" s="7"/>
      <c r="BI11" s="8"/>
      <c r="BJ11" s="7">
        <v>4.0059730312948849E-2</v>
      </c>
      <c r="BK11" s="8">
        <v>608.26694507181537</v>
      </c>
    </row>
    <row r="12" spans="1:63" x14ac:dyDescent="0.35">
      <c r="A12" s="6" t="s">
        <v>13</v>
      </c>
      <c r="B12" s="9">
        <v>1.5134860471860412E-3</v>
      </c>
      <c r="C12" s="10">
        <v>0.53426057465667254</v>
      </c>
      <c r="D12" s="9"/>
      <c r="E12" s="10"/>
      <c r="F12" s="9"/>
      <c r="G12" s="10"/>
      <c r="H12" s="9">
        <v>3.43747864674204E-3</v>
      </c>
      <c r="I12" s="10">
        <v>2.0452997948115139</v>
      </c>
      <c r="J12" s="9">
        <v>4.2860666675386093E-3</v>
      </c>
      <c r="K12" s="10">
        <v>1.6501356670023646</v>
      </c>
      <c r="L12" s="9">
        <v>1.2069661464395634E-2</v>
      </c>
      <c r="M12" s="10">
        <v>23.837581392181377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2.9068902081071098E-2</v>
      </c>
      <c r="Y12" s="10">
        <v>73.573391167190948</v>
      </c>
      <c r="Z12" s="9"/>
      <c r="AA12" s="10"/>
      <c r="AB12" s="9"/>
      <c r="AC12" s="10"/>
      <c r="AD12" s="9"/>
      <c r="AE12" s="10"/>
      <c r="AF12" s="9">
        <v>6.2250475881242551E-4</v>
      </c>
      <c r="AG12" s="10">
        <v>0.23001939114456904</v>
      </c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2.103447805020129E-2</v>
      </c>
      <c r="AU12" s="10">
        <v>11.589997405660911</v>
      </c>
      <c r="AV12" s="9"/>
      <c r="AW12" s="10"/>
      <c r="AX12" s="9">
        <v>4.4795332205688175E-3</v>
      </c>
      <c r="AY12" s="10">
        <v>0.34492405798379894</v>
      </c>
      <c r="AZ12" s="9"/>
      <c r="BA12" s="10"/>
      <c r="BB12" s="9"/>
      <c r="BC12" s="10"/>
      <c r="BD12" s="9"/>
      <c r="BE12" s="10"/>
      <c r="BF12" s="9">
        <v>9.2805523915420352E-2</v>
      </c>
      <c r="BG12" s="10">
        <v>33.874016229128429</v>
      </c>
      <c r="BH12" s="9">
        <v>5.2158592096274159E-4</v>
      </c>
      <c r="BI12" s="10">
        <v>0.23001939114456904</v>
      </c>
      <c r="BJ12" s="9">
        <v>1.5736153818832643E-2</v>
      </c>
      <c r="BK12" s="8">
        <v>238.93775958515488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0.82972158871448076</v>
      </c>
      <c r="AC13" s="10">
        <v>587.27538006872794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3.8677251058267116E-2</v>
      </c>
      <c r="BK13" s="10">
        <v>587.27538006872794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0.13800000000000001</v>
      </c>
      <c r="F14" s="11"/>
      <c r="G14" s="17"/>
      <c r="H14" s="11">
        <v>3.3000000000000002E-2</v>
      </c>
      <c r="I14" s="17">
        <f>H14*H3</f>
        <v>19.635000000000002</v>
      </c>
      <c r="J14" s="11">
        <v>0.03</v>
      </c>
      <c r="K14" s="17">
        <f>J14*J3</f>
        <v>11.549999999999999</v>
      </c>
      <c r="L14" s="11"/>
      <c r="M14" s="12"/>
      <c r="N14" s="11"/>
      <c r="O14" s="12"/>
      <c r="P14" s="11">
        <v>3.0000000000000001E-3</v>
      </c>
      <c r="Q14" s="17">
        <f>P14*P3</f>
        <v>1.1850000000000001</v>
      </c>
      <c r="R14" s="11">
        <v>2.0000000000000001E-4</v>
      </c>
      <c r="S14" s="17">
        <f>R14*R3</f>
        <v>7.980000000000001E-2</v>
      </c>
      <c r="T14" s="11"/>
      <c r="U14" s="12"/>
      <c r="V14" s="11">
        <v>2.9000000000000001E-2</v>
      </c>
      <c r="W14" s="17">
        <f>V14*V3</f>
        <v>6.8440000000000003</v>
      </c>
      <c r="X14" s="11">
        <v>0.20499999999999999</v>
      </c>
      <c r="Y14" s="17">
        <f>X14*X3</f>
        <v>518.85500000000002</v>
      </c>
      <c r="Z14" s="11">
        <v>0.97</v>
      </c>
      <c r="AA14" s="17">
        <f>Z14*Z3</f>
        <v>180.42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39.120999999999995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3.2849999999999997</v>
      </c>
      <c r="BH14" s="11"/>
      <c r="BI14" s="12"/>
      <c r="BJ14" s="11">
        <v>5.7639364856377898E-2</v>
      </c>
      <c r="BK14" s="12">
        <v>875.19611597924199</v>
      </c>
    </row>
    <row r="15" spans="1:63" x14ac:dyDescent="0.3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5.7670561628345197E-2</v>
      </c>
      <c r="Y15" s="8">
        <v>145.96419148134169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9.6130263093612799E-3</v>
      </c>
      <c r="BK15" s="8">
        <v>145.96419148134169</v>
      </c>
    </row>
    <row r="16" spans="1:63" ht="58" x14ac:dyDescent="0.3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0.35644598780301662</v>
      </c>
      <c r="BK16" s="8">
        <v>5412.2758788010042</v>
      </c>
    </row>
    <row r="17" spans="1:63" ht="43.5" x14ac:dyDescent="0.3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0.15147881238964001</v>
      </c>
      <c r="BK17" s="8">
        <v>2300.0542873242939</v>
      </c>
    </row>
    <row r="18" spans="1:63" x14ac:dyDescent="0.35">
      <c r="A18" s="6" t="s">
        <v>204</v>
      </c>
      <c r="B18" s="13">
        <v>0.53273779863334969</v>
      </c>
      <c r="C18" s="14">
        <v>188.05644291757244</v>
      </c>
      <c r="D18" s="13">
        <v>0.85054863589625318</v>
      </c>
      <c r="E18" s="14">
        <v>19.562618625613823</v>
      </c>
      <c r="F18" s="13">
        <v>0.90485731462061281</v>
      </c>
      <c r="G18" s="14">
        <v>218.0706128235677</v>
      </c>
      <c r="H18" s="13">
        <v>0.6104501854570501</v>
      </c>
      <c r="I18" s="14">
        <v>363.2178603469448</v>
      </c>
      <c r="J18" s="13">
        <v>0.67636529584209082</v>
      </c>
      <c r="K18" s="14">
        <v>260.40063889920498</v>
      </c>
      <c r="L18" s="13">
        <v>0.59254393727454469</v>
      </c>
      <c r="M18" s="14">
        <v>1170.2742761172258</v>
      </c>
      <c r="N18" s="13">
        <v>0.88700000000000001</v>
      </c>
      <c r="O18" s="14">
        <v>42.576000000000001</v>
      </c>
      <c r="P18" s="13">
        <v>0.55712903605884878</v>
      </c>
      <c r="Q18" s="14">
        <v>220.06596924324526</v>
      </c>
      <c r="R18" s="13">
        <v>0.36158713614043914</v>
      </c>
      <c r="S18" s="14">
        <v>144.27326732003522</v>
      </c>
      <c r="T18" s="13">
        <v>0.13676495417511081</v>
      </c>
      <c r="U18" s="14">
        <v>2.7352990835022162</v>
      </c>
      <c r="V18" s="13">
        <v>0.74855076984264923</v>
      </c>
      <c r="W18" s="14">
        <v>176.65798168286523</v>
      </c>
      <c r="X18" s="13">
        <v>0.81692014192978712</v>
      </c>
      <c r="Y18" s="14">
        <v>2067.6248792242914</v>
      </c>
      <c r="Z18" s="13">
        <v>0.97</v>
      </c>
      <c r="AA18" s="14">
        <v>180.42</v>
      </c>
      <c r="AB18" s="13">
        <v>0.82972158871448076</v>
      </c>
      <c r="AC18" s="14">
        <v>560.89179397098894</v>
      </c>
      <c r="AD18" s="13">
        <v>1</v>
      </c>
      <c r="AE18" s="14">
        <v>7</v>
      </c>
      <c r="AF18" s="13">
        <v>6.2250475881242551E-4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44.942999999999998</v>
      </c>
      <c r="AT18" s="13">
        <v>0.51709015974257677</v>
      </c>
      <c r="AU18" s="14">
        <v>284.91667801815981</v>
      </c>
      <c r="AV18" s="13">
        <v>0.328742580442137</v>
      </c>
      <c r="AW18" s="14">
        <v>231.1060340508223</v>
      </c>
      <c r="AX18" s="13">
        <v>0.10007175018814329</v>
      </c>
      <c r="AY18" s="14">
        <v>7.7055247644870333</v>
      </c>
      <c r="AZ18" s="13">
        <v>0.16769188938539181</v>
      </c>
      <c r="BA18" s="14">
        <v>46.953729027909709</v>
      </c>
      <c r="BB18" s="13">
        <v>0.41246575342465752</v>
      </c>
      <c r="BC18" s="14">
        <v>30.11</v>
      </c>
      <c r="BD18" s="13">
        <v>4.2388602471691406E-2</v>
      </c>
      <c r="BE18" s="14">
        <v>22.381182105053064</v>
      </c>
      <c r="BF18" s="13">
        <v>0.12988884914784238</v>
      </c>
      <c r="BG18" s="14">
        <v>47.409429938962468</v>
      </c>
      <c r="BH18" s="13">
        <v>5.2158592096274159E-4</v>
      </c>
      <c r="BI18" s="14">
        <v>0.23001939114456904</v>
      </c>
      <c r="BJ18" s="13">
        <v>0.43250400390951249</v>
      </c>
      <c r="BK18" s="14">
        <v>6567.1407953620374</v>
      </c>
    </row>
    <row r="19" spans="1:63" s="15" customFormat="1" ht="63" customHeight="1" x14ac:dyDescent="0.35">
      <c r="A19" s="1" t="s">
        <v>23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191</v>
      </c>
      <c r="C21" s="65"/>
      <c r="D21" s="65">
        <v>7</v>
      </c>
      <c r="E21" s="65"/>
      <c r="F21" s="65">
        <v>82</v>
      </c>
      <c r="G21" s="65"/>
      <c r="H21" s="65">
        <v>325</v>
      </c>
      <c r="I21" s="65"/>
      <c r="J21" s="65">
        <v>225</v>
      </c>
      <c r="K21" s="65"/>
      <c r="L21" s="65">
        <v>1696</v>
      </c>
      <c r="M21" s="65"/>
      <c r="N21" s="65">
        <v>94</v>
      </c>
      <c r="O21" s="65"/>
      <c r="P21" s="65">
        <v>201</v>
      </c>
      <c r="Q21" s="65"/>
      <c r="R21" s="65">
        <v>413</v>
      </c>
      <c r="S21" s="65"/>
      <c r="T21" s="65">
        <v>56</v>
      </c>
      <c r="U21" s="65"/>
      <c r="V21" s="65">
        <v>57</v>
      </c>
      <c r="W21" s="65"/>
      <c r="X21" s="65">
        <v>2466</v>
      </c>
      <c r="Y21" s="65"/>
      <c r="Z21" s="65">
        <v>22</v>
      </c>
      <c r="AA21" s="65"/>
      <c r="AB21" s="65">
        <v>687</v>
      </c>
      <c r="AC21" s="65"/>
      <c r="AD21" s="65">
        <v>0</v>
      </c>
      <c r="AE21" s="65"/>
      <c r="AF21" s="65">
        <v>4738</v>
      </c>
      <c r="AG21" s="65"/>
      <c r="AH21" s="65">
        <v>141</v>
      </c>
      <c r="AI21" s="65"/>
      <c r="AJ21" s="65">
        <v>21</v>
      </c>
      <c r="AK21" s="65"/>
      <c r="AL21" s="65">
        <v>379</v>
      </c>
      <c r="AM21" s="65"/>
      <c r="AN21" s="65">
        <v>799</v>
      </c>
      <c r="AO21" s="65"/>
      <c r="AP21" s="65">
        <v>570</v>
      </c>
      <c r="AQ21" s="65"/>
      <c r="AR21" s="65" t="s">
        <v>6</v>
      </c>
      <c r="AS21" s="65"/>
      <c r="AT21" s="65">
        <v>277</v>
      </c>
      <c r="AU21" s="65"/>
      <c r="AV21" s="65">
        <v>404</v>
      </c>
      <c r="AW21" s="65"/>
      <c r="AX21" s="65">
        <v>201</v>
      </c>
      <c r="AY21" s="65"/>
      <c r="AZ21" s="65">
        <v>193</v>
      </c>
      <c r="BA21" s="65"/>
      <c r="BB21" s="65">
        <v>74</v>
      </c>
      <c r="BC21" s="65"/>
      <c r="BD21" s="65">
        <v>495</v>
      </c>
      <c r="BE21" s="65"/>
      <c r="BF21" s="65">
        <v>239</v>
      </c>
      <c r="BG21" s="65"/>
      <c r="BH21" s="65">
        <v>536</v>
      </c>
      <c r="BI21" s="65"/>
      <c r="BJ21" s="65">
        <v>16266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 t="s">
        <v>7</v>
      </c>
      <c r="G22" s="5" t="s">
        <v>8</v>
      </c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0.17446243016771465</v>
      </c>
      <c r="C23" s="8">
        <v>33.322324162033496</v>
      </c>
      <c r="D23" s="7">
        <v>0.22367164346227025</v>
      </c>
      <c r="E23" s="8">
        <v>1.5657015042358917</v>
      </c>
      <c r="F23" s="7">
        <v>0.39075935771201775</v>
      </c>
      <c r="G23" s="8">
        <v>32.042267332385457</v>
      </c>
      <c r="H23" s="7">
        <v>0.34819862691564885</v>
      </c>
      <c r="I23" s="8">
        <v>113.16455374758587</v>
      </c>
      <c r="J23" s="7">
        <v>4.1644140815399883E-2</v>
      </c>
      <c r="K23" s="8">
        <v>9.3699316834649728</v>
      </c>
      <c r="L23" s="7">
        <v>6.1537982806787878E-2</v>
      </c>
      <c r="M23" s="8">
        <v>104.36841884031224</v>
      </c>
      <c r="N23" s="7"/>
      <c r="O23" s="8"/>
      <c r="P23" s="7">
        <v>0.15499178104993147</v>
      </c>
      <c r="Q23" s="8">
        <v>31.153347991036227</v>
      </c>
      <c r="R23" s="7">
        <v>0.23046841350285741</v>
      </c>
      <c r="S23" s="8">
        <v>95.183454776680108</v>
      </c>
      <c r="T23" s="7"/>
      <c r="U23" s="8"/>
      <c r="V23" s="7">
        <v>0.65211358120350926</v>
      </c>
      <c r="W23" s="8">
        <v>37.170474128600027</v>
      </c>
      <c r="X23" s="7">
        <v>0.73247275780447085</v>
      </c>
      <c r="Y23" s="8">
        <v>1806.277820745825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0.215051221393882</v>
      </c>
      <c r="AM23" s="8">
        <v>81.504412908281282</v>
      </c>
      <c r="AN23" s="7"/>
      <c r="AO23" s="8"/>
      <c r="AP23" s="7">
        <v>6.129073726215223E-3</v>
      </c>
      <c r="AQ23" s="8">
        <v>3.4935720239426771</v>
      </c>
      <c r="AR23" s="7"/>
      <c r="AS23" s="8"/>
      <c r="AT23" s="7">
        <v>0.45108433008401949</v>
      </c>
      <c r="AU23" s="8">
        <v>124.95035943327341</v>
      </c>
      <c r="AV23" s="7">
        <v>0.12092367759579738</v>
      </c>
      <c r="AW23" s="8">
        <v>48.853165748702139</v>
      </c>
      <c r="AX23" s="7"/>
      <c r="AY23" s="8"/>
      <c r="AZ23" s="7"/>
      <c r="BA23" s="8"/>
      <c r="BB23" s="7"/>
      <c r="BC23" s="8"/>
      <c r="BD23" s="7"/>
      <c r="BE23" s="8"/>
      <c r="BF23" s="7">
        <v>4.0067573288427756E-2</v>
      </c>
      <c r="BG23" s="8">
        <v>9.5761500159342337</v>
      </c>
      <c r="BH23" s="7"/>
      <c r="BI23" s="8"/>
      <c r="BJ23" s="7">
        <v>0.1556618686242649</v>
      </c>
      <c r="BK23" s="8">
        <v>2531.9959550422927</v>
      </c>
    </row>
    <row r="24" spans="1:63" x14ac:dyDescent="0.35">
      <c r="A24" s="6" t="s">
        <v>10</v>
      </c>
      <c r="B24" s="7">
        <v>0.17460601265604903</v>
      </c>
      <c r="C24" s="8">
        <v>33.349748417305364</v>
      </c>
      <c r="D24" s="7"/>
      <c r="E24" s="8"/>
      <c r="F24" s="7">
        <v>0.2028998329554762</v>
      </c>
      <c r="G24" s="8">
        <v>16.637786302349049</v>
      </c>
      <c r="H24" s="7">
        <v>0.16446583514728044</v>
      </c>
      <c r="I24" s="8">
        <v>53.451396422866139</v>
      </c>
      <c r="J24" s="7"/>
      <c r="K24" s="8"/>
      <c r="L24" s="7">
        <v>3.4227603011325269E-2</v>
      </c>
      <c r="M24" s="8">
        <v>58.050014707207652</v>
      </c>
      <c r="N24" s="7"/>
      <c r="O24" s="8"/>
      <c r="P24" s="7">
        <v>1.2632451747513688E-2</v>
      </c>
      <c r="Q24" s="8">
        <v>2.5391228012502514</v>
      </c>
      <c r="R24" s="7"/>
      <c r="S24" s="8"/>
      <c r="T24" s="7"/>
      <c r="U24" s="8"/>
      <c r="V24" s="7">
        <v>0.117260629199588</v>
      </c>
      <c r="W24" s="8">
        <v>6.6838558643765165</v>
      </c>
      <c r="X24" s="7"/>
      <c r="Y24" s="8"/>
      <c r="Z24" s="7"/>
      <c r="AA24" s="8"/>
      <c r="AB24" s="7"/>
      <c r="AC24" s="8"/>
      <c r="AD24" s="7"/>
      <c r="AE24" s="8"/>
      <c r="AF24" s="7">
        <v>7.7500726270325657E-2</v>
      </c>
      <c r="AG24" s="8">
        <v>367.19844106880299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3.3069615491464276E-2</v>
      </c>
      <c r="BK24" s="8">
        <v>537.91036558415794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8.5288942862971687E-2</v>
      </c>
      <c r="M25" s="10">
        <v>144.65004709559997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8.8927853864256712E-3</v>
      </c>
      <c r="BK25" s="10">
        <v>144.65004709559997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0.33256435242113214</v>
      </c>
      <c r="M26" s="10">
        <v>564.02914170624013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3.4675343766521587E-2</v>
      </c>
      <c r="BK26" s="10">
        <v>564.02914170624013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0.1622075840954354</v>
      </c>
      <c r="I27" s="10">
        <v>52.717464831016507</v>
      </c>
      <c r="J27" s="9">
        <v>5.2914958291850833E-2</v>
      </c>
      <c r="K27" s="10">
        <v>11.905865615666437</v>
      </c>
      <c r="L27" s="9">
        <v>7.4138508167292824E-2</v>
      </c>
      <c r="M27" s="10">
        <v>125.73890985172864</v>
      </c>
      <c r="N27" s="9"/>
      <c r="O27" s="10"/>
      <c r="P27" s="9">
        <v>0.24762495289437825</v>
      </c>
      <c r="Q27" s="10">
        <v>49.772615531770029</v>
      </c>
      <c r="R27" s="9">
        <v>0.11392522906843922</v>
      </c>
      <c r="S27" s="10">
        <v>47.051119605265399</v>
      </c>
      <c r="T27" s="9">
        <v>0.24698407301243247</v>
      </c>
      <c r="U27" s="10">
        <v>13.831108088696219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8.9946450745892886E-2</v>
      </c>
      <c r="AG27" s="10">
        <v>426.1662836340405</v>
      </c>
      <c r="AH27" s="9"/>
      <c r="AI27" s="10"/>
      <c r="AJ27" s="9"/>
      <c r="AK27" s="10"/>
      <c r="AL27" s="9"/>
      <c r="AM27" s="10"/>
      <c r="AN27" s="9">
        <v>0.34944728977991824</v>
      </c>
      <c r="AO27" s="10">
        <v>279.20838453415467</v>
      </c>
      <c r="AP27" s="9">
        <v>7.761033323276316E-2</v>
      </c>
      <c r="AQ27" s="10">
        <v>44.237889942675004</v>
      </c>
      <c r="AR27" s="9"/>
      <c r="AS27" s="10"/>
      <c r="AT27" s="9"/>
      <c r="AU27" s="10"/>
      <c r="AV27" s="9">
        <v>0.29575862189349178</v>
      </c>
      <c r="AW27" s="10">
        <v>119.48648324497067</v>
      </c>
      <c r="AX27" s="9">
        <v>8.8163862651064448E-2</v>
      </c>
      <c r="AY27" s="10">
        <v>17.720936392863955</v>
      </c>
      <c r="AZ27" s="9">
        <v>0.11499700600390564</v>
      </c>
      <c r="BA27" s="10">
        <v>22.194422158753788</v>
      </c>
      <c r="BB27" s="9"/>
      <c r="BC27" s="10"/>
      <c r="BD27" s="9"/>
      <c r="BE27" s="10"/>
      <c r="BF27" s="9"/>
      <c r="BG27" s="10"/>
      <c r="BH27" s="9">
        <v>6.2658804596994286E-2</v>
      </c>
      <c r="BI27" s="10">
        <v>33.585119263988936</v>
      </c>
      <c r="BJ27" s="9">
        <v>7.645497373020968E-2</v>
      </c>
      <c r="BK27" s="10">
        <v>1243.6166026955907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5.0483724669788413E-2</v>
      </c>
      <c r="M28" s="10">
        <v>85.620397039961148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5.2637647264208252E-3</v>
      </c>
      <c r="BK28" s="10">
        <v>85.620397039961148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2.349571399129223E-2</v>
      </c>
      <c r="AG29" s="8">
        <v>111.32269289074259</v>
      </c>
      <c r="AH29" s="7"/>
      <c r="AI29" s="8"/>
      <c r="AJ29" s="7"/>
      <c r="AK29" s="8"/>
      <c r="AL29" s="7"/>
      <c r="AM29" s="8"/>
      <c r="AN29" s="7"/>
      <c r="AO29" s="8"/>
      <c r="AP29" s="7">
        <v>3.6265787697842715E-2</v>
      </c>
      <c r="AQ29" s="8">
        <v>20.671498987770349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8.114729612597623E-3</v>
      </c>
      <c r="BK29" s="8">
        <v>131.99419187851294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7.1744012643631897E-3</v>
      </c>
      <c r="AG30" s="10">
        <v>33.992313190552792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4.8275777682667415E-3</v>
      </c>
      <c r="BK30" s="8">
        <v>78.525379978626816</v>
      </c>
    </row>
    <row r="31" spans="1:63" x14ac:dyDescent="0.35">
      <c r="A31" s="6" t="s">
        <v>12</v>
      </c>
      <c r="B31" s="9">
        <v>1.2800000000000002E-2</v>
      </c>
      <c r="C31" s="10">
        <v>2.4448000000000003</v>
      </c>
      <c r="D31" s="9">
        <v>0.8</v>
      </c>
      <c r="E31" s="10">
        <v>5.6000000000000005</v>
      </c>
      <c r="F31" s="9">
        <v>0.63300000000000001</v>
      </c>
      <c r="G31" s="10">
        <v>51.905999999999999</v>
      </c>
      <c r="H31" s="9"/>
      <c r="I31" s="10"/>
      <c r="J31" s="9">
        <v>0.52476540281491446</v>
      </c>
      <c r="K31" s="10">
        <v>118.07221563335575</v>
      </c>
      <c r="L31" s="9"/>
      <c r="M31" s="10"/>
      <c r="N31" s="9">
        <v>0.92500000000000004</v>
      </c>
      <c r="O31" s="10">
        <v>86.95</v>
      </c>
      <c r="P31" s="9">
        <v>0.12161646968020179</v>
      </c>
      <c r="Q31" s="10">
        <v>24.44491040572056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0</v>
      </c>
      <c r="AE31" s="10">
        <v>0</v>
      </c>
      <c r="AF31" s="9"/>
      <c r="AG31" s="10"/>
      <c r="AH31" s="9">
        <v>0.68799999999999994</v>
      </c>
      <c r="AI31" s="10">
        <v>97.007999999999996</v>
      </c>
      <c r="AJ31" s="9">
        <v>0.75</v>
      </c>
      <c r="AK31" s="10">
        <v>15.75</v>
      </c>
      <c r="AL31" s="9">
        <v>0.997</v>
      </c>
      <c r="AM31" s="10">
        <v>377.863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0.40081081081081082</v>
      </c>
      <c r="BC31" s="10"/>
      <c r="BD31" s="9">
        <v>4.7982678122876515E-2</v>
      </c>
      <c r="BE31" s="10">
        <v>22.791772108366345</v>
      </c>
      <c r="BF31" s="9"/>
      <c r="BG31" s="10"/>
      <c r="BH31" s="9"/>
      <c r="BI31" s="10"/>
      <c r="BJ31" s="9">
        <v>5.1179804386293049E-2</v>
      </c>
      <c r="BK31" s="10">
        <v>832.49069814744269</v>
      </c>
    </row>
    <row r="32" spans="1:63" x14ac:dyDescent="0.35">
      <c r="A32" s="6" t="s">
        <v>13</v>
      </c>
      <c r="B32" s="7">
        <v>1.5134860471860412E-3</v>
      </c>
      <c r="C32" s="8">
        <v>0.28907583501253387</v>
      </c>
      <c r="D32" s="7"/>
      <c r="E32" s="8"/>
      <c r="F32" s="7"/>
      <c r="G32" s="8"/>
      <c r="H32" s="7">
        <v>6.4374786467420392E-3</v>
      </c>
      <c r="I32" s="8">
        <v>2.0921805601911627</v>
      </c>
      <c r="J32" s="7">
        <v>9.2860666675386103E-3</v>
      </c>
      <c r="K32" s="8">
        <v>2.0893650001961874</v>
      </c>
      <c r="L32" s="7">
        <v>1.9973250426431877E-2</v>
      </c>
      <c r="M32" s="8">
        <v>33.874632723228466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3.2378134513473211E-2</v>
      </c>
      <c r="Y32" s="8">
        <v>79.844479710224945</v>
      </c>
      <c r="Z32" s="7"/>
      <c r="AA32" s="8"/>
      <c r="AB32" s="7"/>
      <c r="AC32" s="8"/>
      <c r="AD32" s="7"/>
      <c r="AE32" s="8"/>
      <c r="AF32" s="7">
        <v>1.49898207636862E-2</v>
      </c>
      <c r="AG32" s="8">
        <v>71.021770778345214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1.8034478050201294E-2</v>
      </c>
      <c r="AU32" s="8">
        <v>4.9955504199057588</v>
      </c>
      <c r="AV32" s="7"/>
      <c r="AW32" s="8"/>
      <c r="AX32" s="7">
        <v>8.4795332205688176E-3</v>
      </c>
      <c r="AY32" s="8">
        <v>2.3742693017592691</v>
      </c>
      <c r="AZ32" s="7"/>
      <c r="BA32" s="8"/>
      <c r="BB32" s="7"/>
      <c r="BC32" s="8">
        <v>29.66</v>
      </c>
      <c r="BD32" s="7"/>
      <c r="BE32" s="8"/>
      <c r="BF32" s="7">
        <v>0.11779971403938236</v>
      </c>
      <c r="BG32" s="8">
        <v>28.154131655412385</v>
      </c>
      <c r="BH32" s="7">
        <v>5.2158592096274159E-4</v>
      </c>
      <c r="BI32" s="8">
        <v>0.27957005363602949</v>
      </c>
      <c r="BJ32" s="7">
        <v>1.9325058628491432E-2</v>
      </c>
      <c r="BK32" s="8">
        <v>314.34140365104162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0.82972158871448076</v>
      </c>
      <c r="AC33" s="8">
        <v>570.01873144684828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3.5043571341869438E-2</v>
      </c>
      <c r="BK33" s="8">
        <v>570.01873144684828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1.4E-2</v>
      </c>
      <c r="F34" s="11"/>
      <c r="G34" s="17"/>
      <c r="H34" s="11">
        <v>1.0999999999999999E-2</v>
      </c>
      <c r="I34" s="17">
        <f>H34*H21</f>
        <v>3.5749999999999997</v>
      </c>
      <c r="J34" s="11">
        <v>3.0000000000000001E-3</v>
      </c>
      <c r="K34" s="17">
        <f>J34*J21</f>
        <v>0.67500000000000004</v>
      </c>
      <c r="L34" s="11"/>
      <c r="M34" s="12"/>
      <c r="N34" s="11"/>
      <c r="O34" s="12"/>
      <c r="P34" s="11">
        <v>1E-3</v>
      </c>
      <c r="Q34" s="17">
        <f>P34*P21</f>
        <v>0.20100000000000001</v>
      </c>
      <c r="R34" s="11"/>
      <c r="S34" s="17"/>
      <c r="T34" s="11"/>
      <c r="U34" s="12"/>
      <c r="V34" s="11">
        <v>1.6E-2</v>
      </c>
      <c r="W34" s="17">
        <f>V34*V21</f>
        <v>0.91200000000000003</v>
      </c>
      <c r="X34" s="11">
        <v>4.2999999999999997E-2</v>
      </c>
      <c r="Y34" s="17">
        <f>X34*X21</f>
        <v>106.038</v>
      </c>
      <c r="Z34" s="11">
        <v>0.82499999999999996</v>
      </c>
      <c r="AA34" s="17">
        <f>Z34*Z21</f>
        <v>18.149999999999999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2.653</v>
      </c>
      <c r="AN34" s="11"/>
      <c r="AO34" s="12"/>
      <c r="AP34" s="11">
        <v>5.0000000000000001E-3</v>
      </c>
      <c r="AQ34" s="17">
        <f>AP34*AP21</f>
        <v>2.85</v>
      </c>
      <c r="AR34" s="11"/>
      <c r="AS34" s="12"/>
      <c r="AT34" s="11">
        <v>1.9E-2</v>
      </c>
      <c r="AU34" s="17">
        <f>AT34*AT21</f>
        <v>5.2629999999999999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1.1950000000000001</v>
      </c>
      <c r="BH34" s="11"/>
      <c r="BI34" s="12"/>
      <c r="BJ34" s="11">
        <v>2.8383020573216389E-2</v>
      </c>
      <c r="BK34" s="12">
        <v>461.6782126439378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5.7670561628345197E-2</v>
      </c>
      <c r="Y35" s="8">
        <v>142.21560497549925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8.7431209255809193E-3</v>
      </c>
      <c r="BK35" s="8">
        <v>142.21560497549925</v>
      </c>
    </row>
    <row r="36" spans="1:63" x14ac:dyDescent="0.3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5.2397449886928855E-2</v>
      </c>
      <c r="AG36" s="8">
        <v>248.25911756426891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1.5262456508316051E-2</v>
      </c>
      <c r="BK36" s="8">
        <v>248.25911756426891</v>
      </c>
    </row>
    <row r="37" spans="1:63" ht="58" x14ac:dyDescent="0.3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0.30756443993616422</v>
      </c>
      <c r="BK37" s="8">
        <v>5002.8431800016469</v>
      </c>
    </row>
    <row r="38" spans="1:63" ht="43.5" x14ac:dyDescent="0.3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0.15012460466998245</v>
      </c>
      <c r="BK38" s="8">
        <v>2441.9268195619347</v>
      </c>
    </row>
    <row r="39" spans="1:63" x14ac:dyDescent="0.35">
      <c r="A39" s="6" t="s">
        <v>204</v>
      </c>
      <c r="B39" s="13">
        <v>0.32834617303349978</v>
      </c>
      <c r="C39" s="14">
        <v>62.714119049398455</v>
      </c>
      <c r="D39" s="13">
        <v>0.84504486003506918</v>
      </c>
      <c r="E39" s="14">
        <v>5.9153140202454839</v>
      </c>
      <c r="F39" s="13">
        <v>0.82177532489013072</v>
      </c>
      <c r="G39" s="14">
        <v>67.38557664099072</v>
      </c>
      <c r="H39" s="13">
        <v>0.55166008933210364</v>
      </c>
      <c r="I39" s="14">
        <v>179.28952903293367</v>
      </c>
      <c r="J39" s="13">
        <v>0.57394343769804212</v>
      </c>
      <c r="K39" s="14">
        <v>129.13727348205947</v>
      </c>
      <c r="L39" s="13">
        <v>0.52327142925373971</v>
      </c>
      <c r="M39" s="14">
        <v>887.46834401434251</v>
      </c>
      <c r="N39" s="13">
        <v>0.92500000000000004</v>
      </c>
      <c r="O39" s="14">
        <v>86.95</v>
      </c>
      <c r="P39" s="13">
        <v>0.44916206917856416</v>
      </c>
      <c r="Q39" s="14">
        <v>90.281575904891397</v>
      </c>
      <c r="R39" s="13">
        <v>0.31813747576994378</v>
      </c>
      <c r="S39" s="14">
        <v>131.39077749298679</v>
      </c>
      <c r="T39" s="13">
        <v>0.24698407301243241</v>
      </c>
      <c r="U39" s="14">
        <v>13.831108088696215</v>
      </c>
      <c r="V39" s="13">
        <v>0.69782045017659189</v>
      </c>
      <c r="W39" s="14">
        <v>39.775765660065737</v>
      </c>
      <c r="X39" s="13">
        <v>0.76655295404471302</v>
      </c>
      <c r="Y39" s="14">
        <v>1890.3195846742624</v>
      </c>
      <c r="Z39" s="13">
        <v>0.82499999999999996</v>
      </c>
      <c r="AA39" s="14">
        <v>18.149999999999999</v>
      </c>
      <c r="AB39" s="13">
        <v>0.82972158871448076</v>
      </c>
      <c r="AC39" s="14">
        <v>570.01873144684828</v>
      </c>
      <c r="AD39" s="13">
        <v>0</v>
      </c>
      <c r="AE39" s="14">
        <v>0</v>
      </c>
      <c r="AF39" s="13">
        <v>0.24029140432312035</v>
      </c>
      <c r="AG39" s="14">
        <v>1138.5006736829441</v>
      </c>
      <c r="AH39" s="13">
        <v>0.68799999999999994</v>
      </c>
      <c r="AI39" s="14">
        <v>97.007999999999996</v>
      </c>
      <c r="AJ39" s="13">
        <v>0.75</v>
      </c>
      <c r="AK39" s="14">
        <v>15.75</v>
      </c>
      <c r="AL39" s="13">
        <v>0.99766163758853232</v>
      </c>
      <c r="AM39" s="14">
        <v>378.11376064605378</v>
      </c>
      <c r="AN39" s="13">
        <v>0.34944728977991824</v>
      </c>
      <c r="AO39" s="14">
        <v>279.20838453415467</v>
      </c>
      <c r="AP39" s="13">
        <v>0.12092734108521608</v>
      </c>
      <c r="AQ39" s="14">
        <v>68.928584418573166</v>
      </c>
      <c r="AR39" s="13">
        <v>0</v>
      </c>
      <c r="AS39" s="14" t="s">
        <v>68</v>
      </c>
      <c r="AT39" s="13">
        <v>0.47122504666852472</v>
      </c>
      <c r="AU39" s="14">
        <v>130.52933792718136</v>
      </c>
      <c r="AV39" s="13">
        <v>0.38091807924926324</v>
      </c>
      <c r="AW39" s="14">
        <v>153.89090401670234</v>
      </c>
      <c r="AX39" s="13">
        <v>9.5895807469429939E-2</v>
      </c>
      <c r="AY39" s="14">
        <v>19.275057301355417</v>
      </c>
      <c r="AZ39" s="13">
        <v>0.11499700600390561</v>
      </c>
      <c r="BA39" s="14">
        <v>22.194422158753781</v>
      </c>
      <c r="BB39" s="13">
        <v>0.40081081081081082</v>
      </c>
      <c r="BC39" s="14">
        <v>29.66</v>
      </c>
      <c r="BD39" s="13">
        <v>4.7982678122876488E-2</v>
      </c>
      <c r="BE39" s="14">
        <v>23.75142567082386</v>
      </c>
      <c r="BF39" s="13">
        <v>0.15738160195892037</v>
      </c>
      <c r="BG39" s="14">
        <v>37.61420286818197</v>
      </c>
      <c r="BH39" s="13">
        <v>6.3147708567654837E-2</v>
      </c>
      <c r="BI39" s="14">
        <v>33.847171792262991</v>
      </c>
      <c r="BJ39" s="13">
        <v>0.39681582281252803</v>
      </c>
      <c r="BK39" s="14">
        <v>6454.6061738685812</v>
      </c>
    </row>
    <row r="40" spans="1:63" s="15" customFormat="1" ht="63" customHeight="1" x14ac:dyDescent="0.35">
      <c r="A40" s="1" t="s">
        <v>23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544</v>
      </c>
      <c r="C42" s="65"/>
      <c r="D42" s="65">
        <v>30</v>
      </c>
      <c r="E42" s="65"/>
      <c r="F42" s="65">
        <v>323</v>
      </c>
      <c r="G42" s="65"/>
      <c r="H42" s="65">
        <v>920</v>
      </c>
      <c r="I42" s="65"/>
      <c r="J42" s="65">
        <v>610</v>
      </c>
      <c r="K42" s="65"/>
      <c r="L42" s="65">
        <v>3671</v>
      </c>
      <c r="M42" s="65"/>
      <c r="N42" s="65">
        <v>142</v>
      </c>
      <c r="O42" s="65"/>
      <c r="P42" s="65">
        <v>596</v>
      </c>
      <c r="Q42" s="65"/>
      <c r="R42" s="65">
        <v>812</v>
      </c>
      <c r="S42" s="65"/>
      <c r="T42" s="65">
        <v>76</v>
      </c>
      <c r="U42" s="65"/>
      <c r="V42" s="65">
        <v>293</v>
      </c>
      <c r="W42" s="65"/>
      <c r="X42" s="65">
        <v>4997</v>
      </c>
      <c r="Y42" s="65"/>
      <c r="Z42" s="65">
        <v>208</v>
      </c>
      <c r="AA42" s="65"/>
      <c r="AB42" s="65">
        <v>1363</v>
      </c>
      <c r="AC42" s="65"/>
      <c r="AD42" s="65">
        <v>7</v>
      </c>
      <c r="AE42" s="65"/>
      <c r="AF42" s="65"/>
      <c r="AG42" s="65"/>
      <c r="AH42" s="65">
        <v>141</v>
      </c>
      <c r="AI42" s="65"/>
      <c r="AJ42" s="65">
        <v>21</v>
      </c>
      <c r="AK42" s="65"/>
      <c r="AL42" s="65">
        <v>379</v>
      </c>
      <c r="AM42" s="65"/>
      <c r="AN42" s="65">
        <v>799</v>
      </c>
      <c r="AO42" s="65"/>
      <c r="AP42" s="65">
        <v>570</v>
      </c>
      <c r="AQ42" s="65"/>
      <c r="AR42" s="65">
        <v>71</v>
      </c>
      <c r="AS42" s="65"/>
      <c r="AT42" s="65">
        <v>828</v>
      </c>
      <c r="AU42" s="65"/>
      <c r="AV42" s="65">
        <v>1107</v>
      </c>
      <c r="AW42" s="65"/>
      <c r="AX42" s="65">
        <v>278</v>
      </c>
      <c r="AY42" s="65"/>
      <c r="AZ42" s="65">
        <v>473</v>
      </c>
      <c r="BA42" s="65"/>
      <c r="BB42" s="65">
        <v>147</v>
      </c>
      <c r="BC42" s="65"/>
      <c r="BD42" s="65">
        <v>1023</v>
      </c>
      <c r="BE42" s="65"/>
      <c r="BF42" s="65">
        <v>604</v>
      </c>
      <c r="BG42" s="65"/>
      <c r="BH42" s="65">
        <v>977</v>
      </c>
      <c r="BI42" s="65"/>
      <c r="BJ42" s="65">
        <v>31450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 t="s">
        <v>7</v>
      </c>
      <c r="G43" s="5" t="s">
        <v>8</v>
      </c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0.18225406003927014</v>
      </c>
      <c r="C44" s="8">
        <v>99.146208661362962</v>
      </c>
      <c r="D44" s="7">
        <v>0.24250169092151508</v>
      </c>
      <c r="E44" s="8">
        <v>7.2750507276454526</v>
      </c>
      <c r="F44" s="7">
        <v>0.39111041378295497</v>
      </c>
      <c r="G44" s="8">
        <v>126.32866365189446</v>
      </c>
      <c r="H44" s="7">
        <v>0.34239541208830043</v>
      </c>
      <c r="I44" s="8">
        <v>315.00377912123639</v>
      </c>
      <c r="J44" s="7">
        <v>0.14796473094290039</v>
      </c>
      <c r="K44" s="8">
        <v>90.258485875169242</v>
      </c>
      <c r="L44" s="7">
        <v>6.8552701953072961E-2</v>
      </c>
      <c r="M44" s="8">
        <v>251.65696886973083</v>
      </c>
      <c r="N44" s="7"/>
      <c r="O44" s="8"/>
      <c r="P44" s="7">
        <v>0.20880773460694624</v>
      </c>
      <c r="Q44" s="8">
        <v>124.44940982573996</v>
      </c>
      <c r="R44" s="7">
        <v>0.24014260467347262</v>
      </c>
      <c r="S44" s="8">
        <v>194.99579499485978</v>
      </c>
      <c r="T44" s="7"/>
      <c r="U44" s="8"/>
      <c r="V44" s="7">
        <v>0.65681941688174772</v>
      </c>
      <c r="W44" s="8">
        <v>192.44808914635209</v>
      </c>
      <c r="X44" s="7">
        <v>0.7404895957700186</v>
      </c>
      <c r="Y44" s="8">
        <v>3700.2265100627828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0.215051221393882</v>
      </c>
      <c r="AM44" s="8">
        <v>81.504412908281282</v>
      </c>
      <c r="AN44" s="7"/>
      <c r="AO44" s="8"/>
      <c r="AP44" s="7">
        <v>6.129073726215223E-3</v>
      </c>
      <c r="AQ44" s="8">
        <v>3.4935720239426771</v>
      </c>
      <c r="AR44" s="7"/>
      <c r="AS44" s="8"/>
      <c r="AT44" s="7">
        <v>0.46301589185078268</v>
      </c>
      <c r="AU44" s="8">
        <v>383.37715845244804</v>
      </c>
      <c r="AV44" s="7">
        <v>0.13098333501364232</v>
      </c>
      <c r="AW44" s="8">
        <v>144.99855186010205</v>
      </c>
      <c r="AX44" s="7"/>
      <c r="AY44" s="8"/>
      <c r="AZ44" s="7"/>
      <c r="BA44" s="8"/>
      <c r="BB44" s="7"/>
      <c r="BC44" s="8"/>
      <c r="BD44" s="7"/>
      <c r="BE44" s="8"/>
      <c r="BF44" s="7">
        <v>3.5292874564728287E-2</v>
      </c>
      <c r="BG44" s="8">
        <v>21.316896237095886</v>
      </c>
      <c r="BH44" s="7"/>
      <c r="BI44" s="8"/>
      <c r="BJ44" s="7">
        <v>0.18239998576847838</v>
      </c>
      <c r="BK44" s="8">
        <v>5736.4795524186447</v>
      </c>
    </row>
    <row r="45" spans="1:63" x14ac:dyDescent="0.35">
      <c r="A45" s="6" t="s">
        <v>10</v>
      </c>
      <c r="B45" s="7">
        <v>0.33209406669987862</v>
      </c>
      <c r="C45" s="8">
        <v>180.65917228473398</v>
      </c>
      <c r="D45" s="7"/>
      <c r="E45" s="8"/>
      <c r="F45" s="7">
        <v>0.37513943875048095</v>
      </c>
      <c r="G45" s="8">
        <v>121.17003871640534</v>
      </c>
      <c r="H45" s="7">
        <v>0.12903877994362886</v>
      </c>
      <c r="I45" s="8">
        <v>118.71567754813856</v>
      </c>
      <c r="J45" s="7"/>
      <c r="K45" s="8"/>
      <c r="L45" s="7">
        <v>5.9091598834692179E-2</v>
      </c>
      <c r="M45" s="8">
        <v>216.925259322155</v>
      </c>
      <c r="N45" s="7"/>
      <c r="O45" s="8"/>
      <c r="P45" s="7">
        <v>6.9333049522906462E-2</v>
      </c>
      <c r="Q45" s="8">
        <v>41.322497515652252</v>
      </c>
      <c r="R45" s="7"/>
      <c r="S45" s="8"/>
      <c r="T45" s="7"/>
      <c r="U45" s="8"/>
      <c r="V45" s="7">
        <v>0.21846403506136583</v>
      </c>
      <c r="W45" s="8">
        <v>64.009962272980189</v>
      </c>
      <c r="X45" s="7"/>
      <c r="Y45" s="8"/>
      <c r="Z45" s="7"/>
      <c r="AA45" s="8"/>
      <c r="AB45" s="7"/>
      <c r="AC45" s="8"/>
      <c r="AD45" s="7"/>
      <c r="AE45" s="8"/>
      <c r="AF45" s="7">
        <v>7.7110130421840187E-2</v>
      </c>
      <c r="AG45" s="8">
        <v>367.19844106880299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3.529415099296878E-2</v>
      </c>
      <c r="BK45" s="8">
        <v>1110.0010487288682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0.13360974673728895</v>
      </c>
      <c r="M46" s="10">
        <v>490.48138027258773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1.5595592377506764E-2</v>
      </c>
      <c r="BK46" s="10">
        <v>490.48138027258773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0.29772192193162283</v>
      </c>
      <c r="M47" s="10">
        <v>1092.9371754109875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3.4751579504323928E-2</v>
      </c>
      <c r="BK47" s="10">
        <v>1092.9371754109875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0.25964936129391059</v>
      </c>
      <c r="I48" s="10">
        <v>238.87741239039772</v>
      </c>
      <c r="J48" s="9">
        <v>7.3489005364920659E-2</v>
      </c>
      <c r="K48" s="10">
        <v>44.828293272601606</v>
      </c>
      <c r="L48" s="9">
        <v>0.1211502009748478</v>
      </c>
      <c r="M48" s="10">
        <v>444.74238777866628</v>
      </c>
      <c r="N48" s="9"/>
      <c r="O48" s="10"/>
      <c r="P48" s="9">
        <v>0.24887985302799684</v>
      </c>
      <c r="Q48" s="10">
        <v>148.33239240468612</v>
      </c>
      <c r="R48" s="9">
        <v>0.1308827007374917</v>
      </c>
      <c r="S48" s="10">
        <v>106.27675299884325</v>
      </c>
      <c r="T48" s="9">
        <v>0.21797904173945309</v>
      </c>
      <c r="U48" s="10">
        <v>16.566407172198435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8.9946450745892886E-2</v>
      </c>
      <c r="AG48" s="10">
        <v>426.1662836340405</v>
      </c>
      <c r="AH48" s="9"/>
      <c r="AI48" s="10"/>
      <c r="AJ48" s="9"/>
      <c r="AK48" s="10"/>
      <c r="AL48" s="9"/>
      <c r="AM48" s="10"/>
      <c r="AN48" s="9">
        <v>0.34944728977991824</v>
      </c>
      <c r="AO48" s="10">
        <v>279.20838453415467</v>
      </c>
      <c r="AP48" s="9">
        <v>7.761033323276316E-2</v>
      </c>
      <c r="AQ48" s="10">
        <v>44.237889942675004</v>
      </c>
      <c r="AR48" s="9"/>
      <c r="AS48" s="10"/>
      <c r="AT48" s="9"/>
      <c r="AU48" s="10"/>
      <c r="AV48" s="9">
        <v>0.24916825666752693</v>
      </c>
      <c r="AW48" s="10">
        <v>275.82926013095232</v>
      </c>
      <c r="AX48" s="9">
        <v>9.0340494671850111E-2</v>
      </c>
      <c r="AY48" s="10">
        <v>25.11465751877433</v>
      </c>
      <c r="AZ48" s="9">
        <v>0.1461905944749757</v>
      </c>
      <c r="BA48" s="10">
        <v>69.148151186663512</v>
      </c>
      <c r="BB48" s="9"/>
      <c r="BC48" s="10"/>
      <c r="BD48" s="9"/>
      <c r="BE48" s="10"/>
      <c r="BF48" s="9"/>
      <c r="BG48" s="10"/>
      <c r="BH48" s="9">
        <v>3.4375761785044971E-2</v>
      </c>
      <c r="BI48" s="10">
        <v>33.585119263988936</v>
      </c>
      <c r="BJ48" s="9">
        <v>6.8455115810131723E-2</v>
      </c>
      <c r="BK48" s="10">
        <v>2152.9133922286428</v>
      </c>
    </row>
    <row r="49" spans="1:63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4.6453528482754414E-2</v>
      </c>
      <c r="M49" s="10">
        <v>170.53090306019146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5.4222862658248475E-3</v>
      </c>
      <c r="BK49" s="10">
        <v>170.53090306019146</v>
      </c>
    </row>
    <row r="50" spans="1:63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2.3377297961096721E-2</v>
      </c>
      <c r="AG50" s="8">
        <v>111.32269289074259</v>
      </c>
      <c r="AH50" s="7"/>
      <c r="AI50" s="8"/>
      <c r="AJ50" s="7"/>
      <c r="AK50" s="8"/>
      <c r="AL50" s="7"/>
      <c r="AM50" s="8"/>
      <c r="AN50" s="7"/>
      <c r="AO50" s="8"/>
      <c r="AP50" s="7">
        <v>3.6265787697842715E-2</v>
      </c>
      <c r="AQ50" s="8">
        <v>20.671498987770349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4.1969536368366596E-3</v>
      </c>
      <c r="BK50" s="8">
        <v>131.99419187851294</v>
      </c>
    </row>
    <row r="51" spans="1:63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7.1382430051559831E-3</v>
      </c>
      <c r="AG51" s="10">
        <v>33.992313190552792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2.4968324317528401E-3</v>
      </c>
      <c r="BK51" s="8">
        <v>78.525379978626816</v>
      </c>
    </row>
    <row r="52" spans="1:63" x14ac:dyDescent="0.35">
      <c r="A52" s="6" t="s">
        <v>12</v>
      </c>
      <c r="B52" s="9">
        <v>1.2800000000000001E-2</v>
      </c>
      <c r="C52" s="10">
        <v>6.9632000000000005</v>
      </c>
      <c r="D52" s="9">
        <v>0.80000000000000016</v>
      </c>
      <c r="E52" s="10">
        <v>24.000000000000004</v>
      </c>
      <c r="F52" s="9">
        <v>0.70089783281733742</v>
      </c>
      <c r="G52" s="10">
        <v>226.39</v>
      </c>
      <c r="H52" s="9"/>
      <c r="I52" s="10"/>
      <c r="J52" s="9">
        <v>0.53193624394295247</v>
      </c>
      <c r="K52" s="10">
        <v>324.48110880520102</v>
      </c>
      <c r="L52" s="9"/>
      <c r="M52" s="10"/>
      <c r="N52" s="9">
        <v>0.91215492957746491</v>
      </c>
      <c r="O52" s="10">
        <v>129.52600000000001</v>
      </c>
      <c r="P52" s="9">
        <v>0.13426905675887443</v>
      </c>
      <c r="Q52" s="10">
        <v>80.024357828289169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7</v>
      </c>
      <c r="AF52" s="9"/>
      <c r="AG52" s="10"/>
      <c r="AH52" s="9">
        <v>0.68799999999999994</v>
      </c>
      <c r="AI52" s="10">
        <v>97.007999999999996</v>
      </c>
      <c r="AJ52" s="9">
        <v>0.75</v>
      </c>
      <c r="AK52" s="10">
        <v>15.75</v>
      </c>
      <c r="AL52" s="9">
        <v>0.997</v>
      </c>
      <c r="AM52" s="10">
        <v>377.863</v>
      </c>
      <c r="AN52" s="9"/>
      <c r="AO52" s="10"/>
      <c r="AP52" s="9"/>
      <c r="AQ52" s="10"/>
      <c r="AR52" s="9">
        <v>0.63300000000000001</v>
      </c>
      <c r="AS52" s="10">
        <v>44.942999999999998</v>
      </c>
      <c r="AT52" s="9"/>
      <c r="AU52" s="10"/>
      <c r="AV52" s="9"/>
      <c r="AW52" s="10"/>
      <c r="AX52" s="9"/>
      <c r="AY52" s="10"/>
      <c r="AZ52" s="9"/>
      <c r="BA52" s="10"/>
      <c r="BB52" s="9">
        <v>0.40659863945578228</v>
      </c>
      <c r="BC52" s="10">
        <v>59.769999999999996</v>
      </c>
      <c r="BD52" s="9">
        <v>4.4926506897969287E-2</v>
      </c>
      <c r="BE52" s="10">
        <v>47.038052722173845</v>
      </c>
      <c r="BF52" s="9"/>
      <c r="BG52" s="10"/>
      <c r="BH52" s="9"/>
      <c r="BI52" s="10"/>
      <c r="BJ52" s="9">
        <v>4.5811053838450182E-2</v>
      </c>
      <c r="BK52" s="10">
        <v>1440.7576432192582</v>
      </c>
    </row>
    <row r="53" spans="1:63" x14ac:dyDescent="0.35">
      <c r="A53" s="6" t="s">
        <v>13</v>
      </c>
      <c r="B53" s="7">
        <v>1.5134860471860412E-3</v>
      </c>
      <c r="C53" s="8">
        <v>0.8233364096692064</v>
      </c>
      <c r="D53" s="7"/>
      <c r="E53" s="8"/>
      <c r="F53" s="7"/>
      <c r="G53" s="8"/>
      <c r="H53" s="7">
        <v>4.4972612554376916E-3</v>
      </c>
      <c r="I53" s="8">
        <v>4.1374803550026762</v>
      </c>
      <c r="J53" s="7">
        <v>6.130328962620577E-3</v>
      </c>
      <c r="K53" s="8">
        <v>3.739500667198552</v>
      </c>
      <c r="L53" s="7">
        <v>1.5721115258896714E-2</v>
      </c>
      <c r="M53" s="8">
        <v>57.712214115409843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3.0701995372706806E-2</v>
      </c>
      <c r="Y53" s="8">
        <v>153.41787087741591</v>
      </c>
      <c r="Z53" s="7"/>
      <c r="AA53" s="8"/>
      <c r="AB53" s="7"/>
      <c r="AC53" s="8"/>
      <c r="AD53" s="7"/>
      <c r="AE53" s="8"/>
      <c r="AF53" s="7">
        <v>1.4917410939218126E-2</v>
      </c>
      <c r="AG53" s="8">
        <v>71.036710892556712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2.0030854861795497E-2</v>
      </c>
      <c r="AU53" s="8">
        <v>16.585547825566671</v>
      </c>
      <c r="AV53" s="7"/>
      <c r="AW53" s="8"/>
      <c r="AX53" s="7">
        <v>7.6167881225296021E-3</v>
      </c>
      <c r="AY53" s="8">
        <v>2.719193359743068</v>
      </c>
      <c r="AZ53" s="7"/>
      <c r="BA53" s="8"/>
      <c r="BB53" s="7"/>
      <c r="BC53" s="8"/>
      <c r="BD53" s="7"/>
      <c r="BE53" s="8"/>
      <c r="BF53" s="7">
        <v>0.10269560908036558</v>
      </c>
      <c r="BG53" s="8">
        <v>62.028147884540815</v>
      </c>
      <c r="BH53" s="7">
        <v>5.2158592096274159E-4</v>
      </c>
      <c r="BI53" s="8">
        <v>0.50958944478059853</v>
      </c>
      <c r="BJ53" s="7">
        <v>1.759234223326539E-2</v>
      </c>
      <c r="BK53" s="8">
        <v>553.2791632361965</v>
      </c>
    </row>
    <row r="54" spans="1:63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0.84907858511781098</v>
      </c>
      <c r="AC54" s="8">
        <v>1157.2941115155763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3.6797904976647894E-2</v>
      </c>
      <c r="BK54" s="8">
        <v>1157.2941115155763</v>
      </c>
    </row>
    <row r="55" spans="1:63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0.15</v>
      </c>
      <c r="F55" s="11"/>
      <c r="G55" s="17"/>
      <c r="H55" s="11">
        <v>2.5999999999999999E-2</v>
      </c>
      <c r="I55" s="17">
        <f>H55*H42</f>
        <v>23.919999999999998</v>
      </c>
      <c r="J55" s="11">
        <v>0.02</v>
      </c>
      <c r="K55" s="17">
        <f>J55*J42</f>
        <v>12.200000000000001</v>
      </c>
      <c r="L55" s="11"/>
      <c r="M55" s="12"/>
      <c r="N55" s="11"/>
      <c r="O55" s="12"/>
      <c r="P55" s="11">
        <v>2E-3</v>
      </c>
      <c r="Q55" s="17">
        <f>P55*P42</f>
        <v>1.1919999999999999</v>
      </c>
      <c r="R55" s="11"/>
      <c r="S55" s="17"/>
      <c r="T55" s="11"/>
      <c r="U55" s="12"/>
      <c r="V55" s="11">
        <v>2.7E-2</v>
      </c>
      <c r="W55" s="17">
        <f>V55*V42</f>
        <v>7.9109999999999996</v>
      </c>
      <c r="X55" s="11">
        <v>0.13200000000000001</v>
      </c>
      <c r="Y55" s="17">
        <f>X55*X42</f>
        <v>659.60400000000004</v>
      </c>
      <c r="Z55" s="11">
        <v>0.94399999999999995</v>
      </c>
      <c r="AA55" s="17">
        <f>Z55*Z42</f>
        <v>196.35199999999998</v>
      </c>
      <c r="AB55" s="11"/>
      <c r="AC55" s="12"/>
      <c r="AD55" s="11"/>
      <c r="AE55" s="12"/>
      <c r="AF55" s="11"/>
      <c r="AG55" s="17"/>
      <c r="AH55" s="11"/>
      <c r="AI55" s="12"/>
      <c r="AJ55" s="11"/>
      <c r="AK55" s="12"/>
      <c r="AL55" s="11">
        <v>7.0000000000000001E-3</v>
      </c>
      <c r="AM55" s="17">
        <f>AL55*AL42</f>
        <v>2.653</v>
      </c>
      <c r="AN55" s="11"/>
      <c r="AO55" s="12"/>
      <c r="AP55" s="11">
        <v>5.0000000000000001E-3</v>
      </c>
      <c r="AQ55" s="17">
        <f>AP55*AP42</f>
        <v>2.85</v>
      </c>
      <c r="AR55" s="11"/>
      <c r="AS55" s="12"/>
      <c r="AT55" s="11">
        <v>5.7000000000000002E-2</v>
      </c>
      <c r="AU55" s="17">
        <f>AT55*AT42</f>
        <v>47.196000000000005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4.2279999999999998</v>
      </c>
      <c r="BH55" s="11"/>
      <c r="BI55" s="12"/>
      <c r="BJ55" s="11">
        <v>4.3666185497255983E-2</v>
      </c>
      <c r="BK55" s="12">
        <v>1373.3015338887008</v>
      </c>
    </row>
    <row r="56" spans="1:63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5.7670561628345197E-2</v>
      </c>
      <c r="Y56" s="8">
        <v>288.17979645684096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9.1631095852731624E-3</v>
      </c>
      <c r="BK56" s="8">
        <v>288.17979645684096</v>
      </c>
    </row>
    <row r="57" spans="1:63" x14ac:dyDescent="0.3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5.213337202105605E-2</v>
      </c>
      <c r="AG57" s="8">
        <v>248.25911756426891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7.8937716236651481E-3</v>
      </c>
      <c r="BK57" s="8">
        <v>248.25911756426891</v>
      </c>
    </row>
    <row r="58" spans="1:63" ht="58" x14ac:dyDescent="0.3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0.33118134473347238</v>
      </c>
      <c r="BK58" s="8">
        <v>10415.653291867706</v>
      </c>
    </row>
    <row r="59" spans="1:63" ht="43.5" x14ac:dyDescent="0.3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0.15072161803971906</v>
      </c>
      <c r="BK59" s="8">
        <v>4740.1948873491647</v>
      </c>
    </row>
    <row r="60" spans="1:63" x14ac:dyDescent="0.35">
      <c r="A60" s="6" t="s">
        <v>204</v>
      </c>
      <c r="B60" s="13">
        <v>0.46162975597736278</v>
      </c>
      <c r="C60" s="14">
        <v>251.12658725168535</v>
      </c>
      <c r="D60" s="13">
        <v>0.8492578364933816</v>
      </c>
      <c r="E60" s="14">
        <v>25.477735094801449</v>
      </c>
      <c r="F60" s="13">
        <v>0.88620027285460645</v>
      </c>
      <c r="G60" s="14">
        <v>286.24268813203787</v>
      </c>
      <c r="H60" s="13">
        <v>0.58884788921475018</v>
      </c>
      <c r="I60" s="14">
        <v>541.74005807757021</v>
      </c>
      <c r="J60" s="13">
        <v>0.64011091392157837</v>
      </c>
      <c r="K60" s="14">
        <v>390.4676574921628</v>
      </c>
      <c r="L60" s="13">
        <v>0.56015162379153494</v>
      </c>
      <c r="M60" s="14">
        <v>2056.3166109387248</v>
      </c>
      <c r="N60" s="13">
        <v>0.91215492957746491</v>
      </c>
      <c r="O60" s="14">
        <v>129.52600000000001</v>
      </c>
      <c r="P60" s="13">
        <v>0.52214160786804809</v>
      </c>
      <c r="Q60" s="14">
        <v>311.19639828935664</v>
      </c>
      <c r="R60" s="13">
        <v>0.33959479274916438</v>
      </c>
      <c r="S60" s="14">
        <v>275.75097171232147</v>
      </c>
      <c r="T60" s="13">
        <v>0.21797904173945315</v>
      </c>
      <c r="U60" s="14">
        <v>16.566407172198439</v>
      </c>
      <c r="V60" s="13">
        <v>0.73903364696521279</v>
      </c>
      <c r="W60" s="14">
        <v>216.53685856080736</v>
      </c>
      <c r="X60" s="13">
        <v>0.7942524953296981</v>
      </c>
      <c r="Y60" s="14">
        <v>3968.8797191625013</v>
      </c>
      <c r="Z60" s="13">
        <v>0.94399999999999995</v>
      </c>
      <c r="AA60" s="14">
        <v>196.35199999999998</v>
      </c>
      <c r="AB60" s="13">
        <v>0.84907858511781098</v>
      </c>
      <c r="AC60" s="14">
        <v>1157.2941115155763</v>
      </c>
      <c r="AD60" s="13">
        <v>1</v>
      </c>
      <c r="AE60" s="14">
        <v>7</v>
      </c>
      <c r="AF60" s="13">
        <v>0.23958215301870955</v>
      </c>
      <c r="AG60" s="14">
        <v>0</v>
      </c>
      <c r="AH60" s="13">
        <v>0.68799999999999994</v>
      </c>
      <c r="AI60" s="14">
        <v>97.007999999999996</v>
      </c>
      <c r="AJ60" s="13">
        <v>0.75</v>
      </c>
      <c r="AK60" s="14">
        <v>15.75</v>
      </c>
      <c r="AL60" s="13">
        <v>0.99766163758853232</v>
      </c>
      <c r="AM60" s="14">
        <v>378.11376064605378</v>
      </c>
      <c r="AN60" s="13">
        <v>0.34944728977991824</v>
      </c>
      <c r="AO60" s="14">
        <v>279.20838453415467</v>
      </c>
      <c r="AP60" s="13">
        <v>0.12092734108521608</v>
      </c>
      <c r="AQ60" s="14">
        <v>68.928584418573166</v>
      </c>
      <c r="AR60" s="13">
        <v>0.63300000000000001</v>
      </c>
      <c r="AS60" s="14">
        <v>44.942999999999998</v>
      </c>
      <c r="AT60" s="13">
        <v>0.50376713045691046</v>
      </c>
      <c r="AU60" s="14">
        <v>417.11918401832185</v>
      </c>
      <c r="AV60" s="13">
        <v>0.34751470244332139</v>
      </c>
      <c r="AW60" s="14">
        <v>384.6987756047568</v>
      </c>
      <c r="AX60" s="13">
        <v>9.7269178387579758E-2</v>
      </c>
      <c r="AY60" s="14">
        <v>27.040831591747171</v>
      </c>
      <c r="AZ60" s="13">
        <v>0.14619059447497573</v>
      </c>
      <c r="BA60" s="14">
        <v>69.148151186663526</v>
      </c>
      <c r="BB60" s="13">
        <v>0.40659863945578234</v>
      </c>
      <c r="BC60" s="14">
        <v>59.77</v>
      </c>
      <c r="BD60" s="13">
        <v>4.4926506897969287E-2</v>
      </c>
      <c r="BE60" s="14">
        <v>45.959816556622577</v>
      </c>
      <c r="BF60" s="13">
        <v>0.14042351197270375</v>
      </c>
      <c r="BG60" s="14">
        <v>84.815801231513063</v>
      </c>
      <c r="BH60" s="13">
        <v>3.4879417792638256E-2</v>
      </c>
      <c r="BI60" s="14">
        <v>34.077191183407578</v>
      </c>
      <c r="BJ60" s="13">
        <v>0.41454692906907986</v>
      </c>
      <c r="BK60" s="14">
        <v>13037.500919222563</v>
      </c>
    </row>
  </sheetData>
  <mergeCells count="93">
    <mergeCell ref="B3:C3"/>
    <mergeCell ref="D3:E3"/>
    <mergeCell ref="F3:G3"/>
    <mergeCell ref="H3:I3"/>
    <mergeCell ref="J3:K3"/>
    <mergeCell ref="L3:M3"/>
    <mergeCell ref="N3:O3"/>
    <mergeCell ref="P3:Q3"/>
    <mergeCell ref="Z3:AA3"/>
    <mergeCell ref="AB3:AC3"/>
    <mergeCell ref="AD3:AE3"/>
    <mergeCell ref="AF3:AG3"/>
    <mergeCell ref="AH3:AI3"/>
    <mergeCell ref="AJ3:AK3"/>
    <mergeCell ref="R3:S3"/>
    <mergeCell ref="T3:U3"/>
    <mergeCell ref="V3:W3"/>
    <mergeCell ref="X3:Y3"/>
    <mergeCell ref="BF3:BG3"/>
    <mergeCell ref="BH3:BI3"/>
    <mergeCell ref="BJ3:BK3"/>
    <mergeCell ref="AV3:AW3"/>
    <mergeCell ref="AX3:AY3"/>
    <mergeCell ref="AZ3:BA3"/>
    <mergeCell ref="BB3:BC3"/>
    <mergeCell ref="BD3:BE3"/>
    <mergeCell ref="AL3:AM3"/>
    <mergeCell ref="AN3:AO3"/>
    <mergeCell ref="AP3:AQ3"/>
    <mergeCell ref="AR3:AS3"/>
    <mergeCell ref="AT3:AU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N21:O21"/>
    <mergeCell ref="P21:Q21"/>
    <mergeCell ref="R21:S21"/>
    <mergeCell ref="T21:U21"/>
    <mergeCell ref="V21:W21"/>
    <mergeCell ref="AP21:AQ21"/>
    <mergeCell ref="AR21:AS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AT21:AU21"/>
    <mergeCell ref="AV21:AW21"/>
    <mergeCell ref="AX21:AY21"/>
    <mergeCell ref="AZ21:BA2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AB42:AC42"/>
    <mergeCell ref="AD42:AE42"/>
    <mergeCell ref="AF42:AG42"/>
    <mergeCell ref="AH42:AI42"/>
    <mergeCell ref="AJ42:AK42"/>
    <mergeCell ref="AL42:AM42"/>
    <mergeCell ref="T42:U42"/>
    <mergeCell ref="V42:W42"/>
    <mergeCell ref="X42:Y42"/>
    <mergeCell ref="Z42:AA42"/>
    <mergeCell ref="BH42:BI42"/>
    <mergeCell ref="BJ42:BK42"/>
    <mergeCell ref="AX42:AY42"/>
    <mergeCell ref="AZ42:BA42"/>
    <mergeCell ref="BB42:BC42"/>
    <mergeCell ref="BD42:BE42"/>
    <mergeCell ref="BF42:BG42"/>
    <mergeCell ref="AN42:AO42"/>
    <mergeCell ref="AP42:AQ42"/>
    <mergeCell ref="AR42:AS42"/>
    <mergeCell ref="AT42:AU42"/>
    <mergeCell ref="AV42:AW42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60"/>
  <sheetViews>
    <sheetView zoomScale="80" zoomScaleNormal="80" workbookViewId="0"/>
  </sheetViews>
  <sheetFormatPr defaultRowHeight="14.5" x14ac:dyDescent="0.35"/>
  <cols>
    <col min="1" max="1" width="26.54296875" customWidth="1"/>
  </cols>
  <sheetData>
    <row r="1" spans="1:63" s="15" customFormat="1" ht="63" customHeight="1" x14ac:dyDescent="0.35">
      <c r="A1" s="1" t="s">
        <v>23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35">
      <c r="A3" s="2" t="s">
        <v>5</v>
      </c>
      <c r="B3" s="65">
        <v>353</v>
      </c>
      <c r="C3" s="65"/>
      <c r="D3" s="65">
        <v>23</v>
      </c>
      <c r="E3" s="65"/>
      <c r="F3" s="65">
        <v>241</v>
      </c>
      <c r="G3" s="65"/>
      <c r="H3" s="65">
        <v>595</v>
      </c>
      <c r="I3" s="65"/>
      <c r="J3" s="65">
        <v>385</v>
      </c>
      <c r="K3" s="65"/>
      <c r="L3" s="65">
        <v>1975</v>
      </c>
      <c r="M3" s="65"/>
      <c r="N3" s="65">
        <v>48</v>
      </c>
      <c r="O3" s="65"/>
      <c r="P3" s="65">
        <v>395</v>
      </c>
      <c r="Q3" s="65"/>
      <c r="R3" s="65">
        <v>399</v>
      </c>
      <c r="S3" s="65"/>
      <c r="T3" s="65">
        <v>20</v>
      </c>
      <c r="U3" s="65"/>
      <c r="V3" s="65">
        <v>236</v>
      </c>
      <c r="W3" s="65"/>
      <c r="X3" s="65">
        <v>2531</v>
      </c>
      <c r="Y3" s="65"/>
      <c r="Z3" s="65">
        <v>186</v>
      </c>
      <c r="AA3" s="65"/>
      <c r="AB3" s="65">
        <v>676</v>
      </c>
      <c r="AC3" s="65"/>
      <c r="AD3" s="65">
        <v>7</v>
      </c>
      <c r="AE3" s="65"/>
      <c r="AF3" s="65"/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71</v>
      </c>
      <c r="AS3" s="65"/>
      <c r="AT3" s="65">
        <v>551</v>
      </c>
      <c r="AU3" s="65"/>
      <c r="AV3" s="65">
        <v>703</v>
      </c>
      <c r="AW3" s="65"/>
      <c r="AX3" s="65">
        <v>77</v>
      </c>
      <c r="AY3" s="65"/>
      <c r="AZ3" s="65">
        <v>280</v>
      </c>
      <c r="BA3" s="65"/>
      <c r="BB3" s="65">
        <v>73</v>
      </c>
      <c r="BC3" s="65"/>
      <c r="BD3" s="65">
        <v>528</v>
      </c>
      <c r="BE3" s="65"/>
      <c r="BF3" s="65">
        <v>365</v>
      </c>
      <c r="BG3" s="65"/>
      <c r="BH3" s="65">
        <v>441</v>
      </c>
      <c r="BI3" s="65"/>
      <c r="BJ3" s="65">
        <v>15184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0.18646992776014013</v>
      </c>
      <c r="C5" s="8">
        <v>65.823884499329466</v>
      </c>
      <c r="D5" s="7">
        <v>0.24823257493085046</v>
      </c>
      <c r="E5" s="8">
        <v>5.7093492234095606</v>
      </c>
      <c r="F5" s="7">
        <v>0.3912298602469253</v>
      </c>
      <c r="G5" s="8">
        <v>94.286396319508995</v>
      </c>
      <c r="H5" s="7">
        <v>0.33922558886327819</v>
      </c>
      <c r="I5" s="8">
        <v>201.83922537365052</v>
      </c>
      <c r="J5" s="7">
        <v>0.21010014075767344</v>
      </c>
      <c r="K5" s="8">
        <v>80.888554191704273</v>
      </c>
      <c r="L5" s="7">
        <v>7.4576481027553709E-2</v>
      </c>
      <c r="M5" s="8">
        <v>147.28855002941859</v>
      </c>
      <c r="N5" s="7"/>
      <c r="O5" s="8"/>
      <c r="P5" s="7">
        <v>0.2361925616068449</v>
      </c>
      <c r="Q5" s="8">
        <v>93.296061834703735</v>
      </c>
      <c r="R5" s="7">
        <v>0.25015624114831997</v>
      </c>
      <c r="S5" s="8">
        <v>99.812340218179671</v>
      </c>
      <c r="T5" s="7"/>
      <c r="U5" s="8"/>
      <c r="V5" s="7">
        <v>0.65795599583793241</v>
      </c>
      <c r="W5" s="8">
        <v>155.27761501775205</v>
      </c>
      <c r="X5" s="7">
        <v>0.74830054892017306</v>
      </c>
      <c r="Y5" s="8">
        <v>1893.9486893169581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0.46901415429977245</v>
      </c>
      <c r="AU5" s="8">
        <v>258.42679901917461</v>
      </c>
      <c r="AV5" s="7">
        <v>0.13676441836614497</v>
      </c>
      <c r="AW5" s="8">
        <v>96.145386111399915</v>
      </c>
      <c r="AX5" s="7"/>
      <c r="AY5" s="8"/>
      <c r="AZ5" s="7"/>
      <c r="BA5" s="8"/>
      <c r="BB5" s="7"/>
      <c r="BC5" s="8"/>
      <c r="BD5" s="7"/>
      <c r="BE5" s="8"/>
      <c r="BF5" s="7">
        <v>3.2166428003182611E-2</v>
      </c>
      <c r="BG5" s="8">
        <v>11.740746221161652</v>
      </c>
      <c r="BH5" s="7"/>
      <c r="BI5" s="8"/>
      <c r="BJ5" s="7">
        <v>0.21104344029085562</v>
      </c>
      <c r="BK5" s="8">
        <v>3204.4835973763516</v>
      </c>
    </row>
    <row r="6" spans="1:63" x14ac:dyDescent="0.35">
      <c r="A6" s="6" t="s">
        <v>10</v>
      </c>
      <c r="B6" s="7">
        <v>0.41730714976608674</v>
      </c>
      <c r="C6" s="8">
        <v>147.30942386742862</v>
      </c>
      <c r="D6" s="7"/>
      <c r="E6" s="8"/>
      <c r="F6" s="7">
        <v>0.43374378595044105</v>
      </c>
      <c r="G6" s="8">
        <v>104.53225241405629</v>
      </c>
      <c r="H6" s="7">
        <v>0.10968786743743264</v>
      </c>
      <c r="I6" s="8">
        <v>65.264281125272419</v>
      </c>
      <c r="J6" s="7"/>
      <c r="K6" s="8"/>
      <c r="L6" s="7">
        <v>8.0443161830353091E-2</v>
      </c>
      <c r="M6" s="8">
        <v>158.87524461494735</v>
      </c>
      <c r="N6" s="7"/>
      <c r="O6" s="8"/>
      <c r="P6" s="7">
        <v>9.8185758770637982E-2</v>
      </c>
      <c r="Q6" s="8">
        <v>38.783374714402001</v>
      </c>
      <c r="R6" s="7"/>
      <c r="S6" s="8"/>
      <c r="T6" s="7"/>
      <c r="U6" s="8"/>
      <c r="V6" s="7">
        <v>0.2429072305449308</v>
      </c>
      <c r="W6" s="8">
        <v>57.326106408603671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3.7677205159688511E-2</v>
      </c>
      <c r="BK6" s="8">
        <v>572.0906831447104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0.17510447249467734</v>
      </c>
      <c r="M7" s="10">
        <v>345.83133317698775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2.2776036168136705E-2</v>
      </c>
      <c r="BK7" s="10">
        <v>345.83133317698775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0.26780153605303664</v>
      </c>
      <c r="M8" s="10">
        <v>528.90803370474737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3.4833247741355856E-2</v>
      </c>
      <c r="BK8" s="10">
        <v>528.90803370474737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0.31287386144433815</v>
      </c>
      <c r="I9" s="10">
        <v>186.15994755938121</v>
      </c>
      <c r="J9" s="9">
        <v>8.5512799108922524E-2</v>
      </c>
      <c r="K9" s="10">
        <v>32.92242765693517</v>
      </c>
      <c r="L9" s="9">
        <v>0.16152074831743679</v>
      </c>
      <c r="M9" s="10">
        <v>319.00347792693765</v>
      </c>
      <c r="N9" s="9"/>
      <c r="O9" s="10"/>
      <c r="P9" s="9">
        <v>0.24951842246307873</v>
      </c>
      <c r="Q9" s="10">
        <v>98.559776872916103</v>
      </c>
      <c r="R9" s="9">
        <v>0.14843517141247581</v>
      </c>
      <c r="S9" s="10">
        <v>59.225633393577851</v>
      </c>
      <c r="T9" s="9">
        <v>0.13676495417511075</v>
      </c>
      <c r="U9" s="10">
        <v>2.7352990835022153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0.22239370823041488</v>
      </c>
      <c r="AW9" s="10">
        <v>156.34277688598166</v>
      </c>
      <c r="AX9" s="9">
        <v>9.6022352284550305E-2</v>
      </c>
      <c r="AY9" s="10">
        <v>7.393721125910373</v>
      </c>
      <c r="AZ9" s="9">
        <v>0.16769188938539184</v>
      </c>
      <c r="BA9" s="10">
        <v>46.953729027909716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5.9885194252703625E-2</v>
      </c>
      <c r="BK9" s="10">
        <v>909.29678953305188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4.2992661276065991E-2</v>
      </c>
      <c r="M10" s="10">
        <v>84.910506020230329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5.5921039265167498E-3</v>
      </c>
      <c r="BK10" s="10">
        <v>84.910506020230329</v>
      </c>
    </row>
    <row r="11" spans="1:63" x14ac:dyDescent="0.35">
      <c r="A11" s="6" t="s">
        <v>12</v>
      </c>
      <c r="B11" s="7">
        <v>1.2800000000000002E-2</v>
      </c>
      <c r="C11" s="8">
        <v>4.5184000000000006</v>
      </c>
      <c r="D11" s="7">
        <v>0.8</v>
      </c>
      <c r="E11" s="8">
        <v>18.400000000000002</v>
      </c>
      <c r="F11" s="7">
        <v>0.72399999999999987</v>
      </c>
      <c r="G11" s="8">
        <v>174.48399999999998</v>
      </c>
      <c r="H11" s="7"/>
      <c r="I11" s="8"/>
      <c r="J11" s="7">
        <v>0.53612699525154606</v>
      </c>
      <c r="K11" s="8">
        <v>206.40889317184525</v>
      </c>
      <c r="L11" s="7"/>
      <c r="M11" s="8"/>
      <c r="N11" s="7">
        <v>0.88700000000000001</v>
      </c>
      <c r="O11" s="8">
        <v>42.576000000000001</v>
      </c>
      <c r="P11" s="7">
        <v>0.14070746182928762</v>
      </c>
      <c r="Q11" s="8">
        <v>55.579447422568613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7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44.942999999999998</v>
      </c>
      <c r="AT11" s="7"/>
      <c r="AU11" s="8"/>
      <c r="AV11" s="7"/>
      <c r="AW11" s="8"/>
      <c r="AX11" s="7"/>
      <c r="AY11" s="8"/>
      <c r="AZ11" s="7"/>
      <c r="BA11" s="8"/>
      <c r="BB11" s="7">
        <v>0.41246575342465752</v>
      </c>
      <c r="BC11" s="8">
        <v>30.11</v>
      </c>
      <c r="BD11" s="7">
        <v>4.2388602471691426E-2</v>
      </c>
      <c r="BE11" s="8">
        <v>24.246280613807496</v>
      </c>
      <c r="BF11" s="7"/>
      <c r="BG11" s="8"/>
      <c r="BH11" s="7"/>
      <c r="BI11" s="8"/>
      <c r="BJ11" s="7">
        <v>4.0059730312948849E-2</v>
      </c>
      <c r="BK11" s="8">
        <v>608.26694507181537</v>
      </c>
    </row>
    <row r="12" spans="1:63" x14ac:dyDescent="0.35">
      <c r="A12" s="6" t="s">
        <v>13</v>
      </c>
      <c r="B12" s="9">
        <v>1.5134860471860412E-3</v>
      </c>
      <c r="C12" s="10">
        <v>0.53426057465667254</v>
      </c>
      <c r="D12" s="9"/>
      <c r="E12" s="10"/>
      <c r="F12" s="9"/>
      <c r="G12" s="10"/>
      <c r="H12" s="9">
        <v>3.43747864674204E-3</v>
      </c>
      <c r="I12" s="10">
        <v>2.0452997948115139</v>
      </c>
      <c r="J12" s="9">
        <v>4.2860666675386093E-3</v>
      </c>
      <c r="K12" s="10">
        <v>1.6501356670023646</v>
      </c>
      <c r="L12" s="9">
        <v>1.2069661464395634E-2</v>
      </c>
      <c r="M12" s="10">
        <v>23.837581392181377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2.9068902081071098E-2</v>
      </c>
      <c r="Y12" s="10">
        <v>73.573391167190948</v>
      </c>
      <c r="Z12" s="9"/>
      <c r="AA12" s="10"/>
      <c r="AB12" s="9"/>
      <c r="AC12" s="10"/>
      <c r="AD12" s="9"/>
      <c r="AE12" s="10"/>
      <c r="AF12" s="9">
        <v>6.2250475881242551E-4</v>
      </c>
      <c r="AG12" s="10">
        <v>0.23001939114456904</v>
      </c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2.103447805020129E-2</v>
      </c>
      <c r="AU12" s="10">
        <v>11.589997405660911</v>
      </c>
      <c r="AV12" s="9"/>
      <c r="AW12" s="10"/>
      <c r="AX12" s="9">
        <v>4.4795332205688175E-3</v>
      </c>
      <c r="AY12" s="10">
        <v>0.34492405798379894</v>
      </c>
      <c r="AZ12" s="9"/>
      <c r="BA12" s="10"/>
      <c r="BB12" s="9"/>
      <c r="BC12" s="10"/>
      <c r="BD12" s="9"/>
      <c r="BE12" s="10"/>
      <c r="BF12" s="9">
        <v>9.2805523915420352E-2</v>
      </c>
      <c r="BG12" s="10">
        <v>33.874016229128429</v>
      </c>
      <c r="BH12" s="9">
        <v>5.2158592096274159E-4</v>
      </c>
      <c r="BI12" s="10">
        <v>0.23001939114456904</v>
      </c>
      <c r="BJ12" s="9">
        <v>1.5736153818832643E-2</v>
      </c>
      <c r="BK12" s="8">
        <v>238.93775958515488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0.82972158871448076</v>
      </c>
      <c r="AC13" s="10">
        <v>587.27538006872794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3.8677251058267116E-2</v>
      </c>
      <c r="BK13" s="10">
        <v>587.27538006872794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0.13800000000000001</v>
      </c>
      <c r="F14" s="11"/>
      <c r="G14" s="17"/>
      <c r="H14" s="11">
        <v>3.3000000000000002E-2</v>
      </c>
      <c r="I14" s="17">
        <f>H14*H3</f>
        <v>19.635000000000002</v>
      </c>
      <c r="J14" s="11">
        <v>0.03</v>
      </c>
      <c r="K14" s="17">
        <f>J14*J3</f>
        <v>11.549999999999999</v>
      </c>
      <c r="L14" s="11"/>
      <c r="M14" s="12"/>
      <c r="N14" s="11"/>
      <c r="O14" s="12"/>
      <c r="P14" s="11">
        <v>3.0000000000000001E-3</v>
      </c>
      <c r="Q14" s="17">
        <f>P14*P3</f>
        <v>1.1850000000000001</v>
      </c>
      <c r="R14" s="11">
        <v>2.0000000000000001E-4</v>
      </c>
      <c r="S14" s="17">
        <f>R14*R3</f>
        <v>7.980000000000001E-2</v>
      </c>
      <c r="T14" s="11"/>
      <c r="U14" s="12"/>
      <c r="V14" s="11">
        <v>2.9000000000000001E-2</v>
      </c>
      <c r="W14" s="17">
        <f>V14*V3</f>
        <v>6.8440000000000003</v>
      </c>
      <c r="X14" s="11">
        <v>0.20499999999999999</v>
      </c>
      <c r="Y14" s="17">
        <f>X14*X3</f>
        <v>518.85500000000002</v>
      </c>
      <c r="Z14" s="11">
        <v>0.97</v>
      </c>
      <c r="AA14" s="17">
        <f>Z14*Z3</f>
        <v>180.42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39.120999999999995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3.2849999999999997</v>
      </c>
      <c r="BH14" s="11"/>
      <c r="BI14" s="12"/>
      <c r="BJ14" s="11">
        <v>5.7639364856377898E-2</v>
      </c>
      <c r="BK14" s="12">
        <v>875.19611597924199</v>
      </c>
    </row>
    <row r="15" spans="1:63" s="18" customFormat="1" ht="58" x14ac:dyDescent="0.35">
      <c r="A15" s="6" t="s">
        <v>229</v>
      </c>
      <c r="B15" s="11"/>
      <c r="C15" s="17"/>
      <c r="D15" s="11"/>
      <c r="E15" s="17"/>
      <c r="F15" s="11"/>
      <c r="G15" s="17"/>
      <c r="H15" s="11"/>
      <c r="I15" s="17"/>
      <c r="J15" s="11"/>
      <c r="K15" s="17"/>
      <c r="L15" s="11"/>
      <c r="M15" s="12"/>
      <c r="N15" s="11"/>
      <c r="O15" s="12"/>
      <c r="P15" s="11"/>
      <c r="Q15" s="17"/>
      <c r="R15" s="11"/>
      <c r="S15" s="17"/>
      <c r="T15" s="11"/>
      <c r="U15" s="12"/>
      <c r="V15" s="11"/>
      <c r="W15" s="17"/>
      <c r="X15" s="11"/>
      <c r="Y15" s="17"/>
      <c r="Z15" s="11"/>
      <c r="AA15" s="17"/>
      <c r="AB15" s="11"/>
      <c r="AC15" s="12"/>
      <c r="AD15" s="11"/>
      <c r="AE15" s="12"/>
      <c r="AF15" s="11"/>
      <c r="AG15" s="12"/>
      <c r="AH15" s="11"/>
      <c r="AI15" s="12"/>
      <c r="AJ15" s="11"/>
      <c r="AK15" s="12"/>
      <c r="AL15" s="11"/>
      <c r="AM15" s="12"/>
      <c r="AN15" s="11"/>
      <c r="AO15" s="12"/>
      <c r="AP15" s="11"/>
      <c r="AQ15" s="12"/>
      <c r="AR15" s="11"/>
      <c r="AS15" s="12"/>
      <c r="AT15" s="11"/>
      <c r="AU15" s="17"/>
      <c r="AV15" s="11"/>
      <c r="AW15" s="12"/>
      <c r="AX15" s="11"/>
      <c r="AY15" s="12"/>
      <c r="AZ15" s="11"/>
      <c r="BA15" s="12"/>
      <c r="BB15" s="11"/>
      <c r="BC15" s="12"/>
      <c r="BD15" s="11"/>
      <c r="BE15" s="12"/>
      <c r="BF15" s="11"/>
      <c r="BG15" s="17"/>
      <c r="BH15" s="11"/>
      <c r="BI15" s="12"/>
      <c r="BJ15" s="7">
        <v>0.35644598780301662</v>
      </c>
      <c r="BK15" s="8">
        <v>5412.2758788010042</v>
      </c>
    </row>
    <row r="16" spans="1:63" s="18" customFormat="1" ht="43.5" x14ac:dyDescent="0.35">
      <c r="A16" s="6" t="s">
        <v>230</v>
      </c>
      <c r="B16" s="11"/>
      <c r="C16" s="17"/>
      <c r="D16" s="11"/>
      <c r="E16" s="17"/>
      <c r="F16" s="11"/>
      <c r="G16" s="17"/>
      <c r="H16" s="11"/>
      <c r="I16" s="17"/>
      <c r="J16" s="11"/>
      <c r="K16" s="17"/>
      <c r="L16" s="11"/>
      <c r="M16" s="12"/>
      <c r="N16" s="11"/>
      <c r="O16" s="12"/>
      <c r="P16" s="11"/>
      <c r="Q16" s="17"/>
      <c r="R16" s="11"/>
      <c r="S16" s="17"/>
      <c r="T16" s="11"/>
      <c r="U16" s="12"/>
      <c r="V16" s="11"/>
      <c r="W16" s="17"/>
      <c r="X16" s="11"/>
      <c r="Y16" s="17"/>
      <c r="Z16" s="11"/>
      <c r="AA16" s="17"/>
      <c r="AB16" s="11"/>
      <c r="AC16" s="12"/>
      <c r="AD16" s="11"/>
      <c r="AE16" s="12"/>
      <c r="AF16" s="11"/>
      <c r="AG16" s="12"/>
      <c r="AH16" s="11"/>
      <c r="AI16" s="12"/>
      <c r="AJ16" s="11"/>
      <c r="AK16" s="12"/>
      <c r="AL16" s="11"/>
      <c r="AM16" s="12"/>
      <c r="AN16" s="11"/>
      <c r="AO16" s="12"/>
      <c r="AP16" s="11"/>
      <c r="AQ16" s="12"/>
      <c r="AR16" s="11"/>
      <c r="AS16" s="12"/>
      <c r="AT16" s="11"/>
      <c r="AU16" s="17"/>
      <c r="AV16" s="11"/>
      <c r="AW16" s="12"/>
      <c r="AX16" s="11"/>
      <c r="AY16" s="12"/>
      <c r="AZ16" s="11"/>
      <c r="BA16" s="12"/>
      <c r="BB16" s="11"/>
      <c r="BC16" s="12"/>
      <c r="BD16" s="11"/>
      <c r="BE16" s="12"/>
      <c r="BF16" s="11"/>
      <c r="BG16" s="17"/>
      <c r="BH16" s="11"/>
      <c r="BI16" s="12"/>
      <c r="BJ16" s="7">
        <v>0.15147881238964001</v>
      </c>
      <c r="BK16" s="8">
        <v>2300.0542873242939</v>
      </c>
    </row>
    <row r="17" spans="1:63" x14ac:dyDescent="0.35">
      <c r="A17" s="6" t="s">
        <v>16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>
        <v>5.7670561628345197E-2</v>
      </c>
      <c r="Y17" s="8">
        <v>145.96419148134169</v>
      </c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9.6130263093612799E-3</v>
      </c>
      <c r="BK17" s="8">
        <v>145.96419148134169</v>
      </c>
    </row>
    <row r="18" spans="1:63" x14ac:dyDescent="0.35">
      <c r="A18" s="6" t="s">
        <v>204</v>
      </c>
      <c r="B18" s="13">
        <v>0.53273779863334969</v>
      </c>
      <c r="C18" s="14">
        <v>188.05644291757244</v>
      </c>
      <c r="D18" s="13">
        <v>0.85054863589625318</v>
      </c>
      <c r="E18" s="14">
        <v>19.562618625613823</v>
      </c>
      <c r="F18" s="13">
        <v>0.90485731462061281</v>
      </c>
      <c r="G18" s="14">
        <v>218.0706128235677</v>
      </c>
      <c r="H18" s="13">
        <v>0.6104501854570501</v>
      </c>
      <c r="I18" s="14">
        <v>363.2178603469448</v>
      </c>
      <c r="J18" s="13">
        <v>0.67636529584209082</v>
      </c>
      <c r="K18" s="14">
        <v>260.40063889920498</v>
      </c>
      <c r="L18" s="13">
        <v>0.59254393727454469</v>
      </c>
      <c r="M18" s="14">
        <v>1170.2742761172258</v>
      </c>
      <c r="N18" s="13">
        <v>0.88700000000000001</v>
      </c>
      <c r="O18" s="14">
        <v>42.576000000000001</v>
      </c>
      <c r="P18" s="13">
        <v>0.55712903605884878</v>
      </c>
      <c r="Q18" s="14">
        <v>220.06596924324526</v>
      </c>
      <c r="R18" s="13">
        <v>0.36158713614043914</v>
      </c>
      <c r="S18" s="14">
        <v>144.27326732003522</v>
      </c>
      <c r="T18" s="13">
        <v>0.13676495417511081</v>
      </c>
      <c r="U18" s="14">
        <v>2.7352990835022162</v>
      </c>
      <c r="V18" s="13">
        <v>0.74855076984264923</v>
      </c>
      <c r="W18" s="14">
        <v>176.65798168286523</v>
      </c>
      <c r="X18" s="13">
        <v>0.81692014192978712</v>
      </c>
      <c r="Y18" s="14">
        <v>2067.6248792242914</v>
      </c>
      <c r="Z18" s="13">
        <v>0.97</v>
      </c>
      <c r="AA18" s="14">
        <v>180.42</v>
      </c>
      <c r="AB18" s="13">
        <v>0.82972158871448076</v>
      </c>
      <c r="AC18" s="14">
        <v>560.89179397098894</v>
      </c>
      <c r="AD18" s="13">
        <v>1</v>
      </c>
      <c r="AE18" s="14">
        <v>7</v>
      </c>
      <c r="AF18" s="13">
        <v>6.2250475881242551E-4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44.942999999999998</v>
      </c>
      <c r="AT18" s="13">
        <v>0.51709015974257677</v>
      </c>
      <c r="AU18" s="14">
        <v>284.91667801815981</v>
      </c>
      <c r="AV18" s="13">
        <v>0.328742580442137</v>
      </c>
      <c r="AW18" s="14">
        <v>231.1060340508223</v>
      </c>
      <c r="AX18" s="13">
        <v>0.10007175018814329</v>
      </c>
      <c r="AY18" s="14">
        <v>7.7055247644870333</v>
      </c>
      <c r="AZ18" s="13">
        <v>0.16769188938539181</v>
      </c>
      <c r="BA18" s="14">
        <v>46.953729027909709</v>
      </c>
      <c r="BB18" s="13">
        <v>0.41246575342465752</v>
      </c>
      <c r="BC18" s="14">
        <v>30.11</v>
      </c>
      <c r="BD18" s="13">
        <v>4.2388602471691406E-2</v>
      </c>
      <c r="BE18" s="14">
        <v>22.381182105053064</v>
      </c>
      <c r="BF18" s="13">
        <v>0.12988884914784238</v>
      </c>
      <c r="BG18" s="14">
        <v>47.409429938962468</v>
      </c>
      <c r="BH18" s="13">
        <v>5.2158592096274159E-4</v>
      </c>
      <c r="BI18" s="14">
        <v>0.23001939114456904</v>
      </c>
      <c r="BJ18" s="13">
        <v>0.43250400390951249</v>
      </c>
      <c r="BK18" s="14">
        <v>6567.1407953620374</v>
      </c>
    </row>
    <row r="19" spans="1:63" s="15" customFormat="1" ht="63" customHeight="1" x14ac:dyDescent="0.35">
      <c r="A19" s="1" t="s">
        <v>23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191</v>
      </c>
      <c r="C21" s="65"/>
      <c r="D21" s="65">
        <v>7</v>
      </c>
      <c r="E21" s="65"/>
      <c r="F21" s="65">
        <v>82</v>
      </c>
      <c r="G21" s="65"/>
      <c r="H21" s="65">
        <v>325</v>
      </c>
      <c r="I21" s="65"/>
      <c r="J21" s="65">
        <v>225</v>
      </c>
      <c r="K21" s="65"/>
      <c r="L21" s="65">
        <v>1696</v>
      </c>
      <c r="M21" s="65"/>
      <c r="N21" s="65">
        <v>94</v>
      </c>
      <c r="O21" s="65"/>
      <c r="P21" s="65">
        <v>201</v>
      </c>
      <c r="Q21" s="65"/>
      <c r="R21" s="65">
        <v>413</v>
      </c>
      <c r="S21" s="65"/>
      <c r="T21" s="65">
        <v>56</v>
      </c>
      <c r="U21" s="65"/>
      <c r="V21" s="65">
        <v>57</v>
      </c>
      <c r="W21" s="65"/>
      <c r="X21" s="65">
        <v>2466</v>
      </c>
      <c r="Y21" s="65"/>
      <c r="Z21" s="65">
        <v>22</v>
      </c>
      <c r="AA21" s="65"/>
      <c r="AB21" s="65">
        <v>687</v>
      </c>
      <c r="AC21" s="65"/>
      <c r="AD21" s="65">
        <v>0</v>
      </c>
      <c r="AE21" s="65"/>
      <c r="AF21" s="65">
        <v>4738</v>
      </c>
      <c r="AG21" s="65"/>
      <c r="AH21" s="65">
        <v>141</v>
      </c>
      <c r="AI21" s="65"/>
      <c r="AJ21" s="65">
        <v>21</v>
      </c>
      <c r="AK21" s="65"/>
      <c r="AL21" s="65">
        <v>379</v>
      </c>
      <c r="AM21" s="65"/>
      <c r="AN21" s="65">
        <v>799</v>
      </c>
      <c r="AO21" s="65"/>
      <c r="AP21" s="65">
        <v>570</v>
      </c>
      <c r="AQ21" s="65"/>
      <c r="AR21" s="65" t="s">
        <v>6</v>
      </c>
      <c r="AS21" s="65"/>
      <c r="AT21" s="65">
        <v>277</v>
      </c>
      <c r="AU21" s="65"/>
      <c r="AV21" s="65">
        <v>404</v>
      </c>
      <c r="AW21" s="65"/>
      <c r="AX21" s="65">
        <v>201</v>
      </c>
      <c r="AY21" s="65"/>
      <c r="AZ21" s="65">
        <v>193</v>
      </c>
      <c r="BA21" s="65"/>
      <c r="BB21" s="65">
        <v>74</v>
      </c>
      <c r="BC21" s="65"/>
      <c r="BD21" s="65">
        <v>495</v>
      </c>
      <c r="BE21" s="65"/>
      <c r="BF21" s="65">
        <v>239</v>
      </c>
      <c r="BG21" s="65"/>
      <c r="BH21" s="65">
        <v>536</v>
      </c>
      <c r="BI21" s="65"/>
      <c r="BJ21" s="65">
        <v>16266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 t="s">
        <v>7</v>
      </c>
      <c r="G22" s="5" t="s">
        <v>8</v>
      </c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0.17446243016771465</v>
      </c>
      <c r="C23" s="8">
        <v>33.322324162033496</v>
      </c>
      <c r="D23" s="7">
        <v>0.22367164346227025</v>
      </c>
      <c r="E23" s="8">
        <v>1.5657015042358917</v>
      </c>
      <c r="F23" s="7">
        <v>0.39075935771201775</v>
      </c>
      <c r="G23" s="8">
        <v>32.042267332385457</v>
      </c>
      <c r="H23" s="7">
        <v>0.34819862691564885</v>
      </c>
      <c r="I23" s="8">
        <v>113.16455374758587</v>
      </c>
      <c r="J23" s="7">
        <v>4.1644140815399883E-2</v>
      </c>
      <c r="K23" s="8">
        <v>9.3699316834649728</v>
      </c>
      <c r="L23" s="7">
        <v>6.1537982806787878E-2</v>
      </c>
      <c r="M23" s="8">
        <v>104.36841884031224</v>
      </c>
      <c r="N23" s="7"/>
      <c r="O23" s="8"/>
      <c r="P23" s="7">
        <v>0.15499178104993147</v>
      </c>
      <c r="Q23" s="8">
        <v>31.153347991036227</v>
      </c>
      <c r="R23" s="7">
        <v>0.23046841350285741</v>
      </c>
      <c r="S23" s="8">
        <v>95.183454776680108</v>
      </c>
      <c r="T23" s="7"/>
      <c r="U23" s="8"/>
      <c r="V23" s="7">
        <v>0.65211358120350926</v>
      </c>
      <c r="W23" s="8">
        <v>37.170474128600027</v>
      </c>
      <c r="X23" s="7">
        <v>0.73247275780447085</v>
      </c>
      <c r="Y23" s="8">
        <v>1806.277820745825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0.215051221393882</v>
      </c>
      <c r="AM23" s="8">
        <v>81.504412908281282</v>
      </c>
      <c r="AN23" s="7"/>
      <c r="AO23" s="8"/>
      <c r="AP23" s="7">
        <v>6.129073726215223E-3</v>
      </c>
      <c r="AQ23" s="8">
        <v>3.4935720239426771</v>
      </c>
      <c r="AR23" s="7"/>
      <c r="AS23" s="8"/>
      <c r="AT23" s="7">
        <v>0.45108433008401949</v>
      </c>
      <c r="AU23" s="8">
        <v>124.95035943327341</v>
      </c>
      <c r="AV23" s="7">
        <v>0.12092367759579738</v>
      </c>
      <c r="AW23" s="8">
        <v>48.853165748702139</v>
      </c>
      <c r="AX23" s="7"/>
      <c r="AY23" s="8"/>
      <c r="AZ23" s="7"/>
      <c r="BA23" s="8"/>
      <c r="BB23" s="7"/>
      <c r="BC23" s="8"/>
      <c r="BD23" s="7"/>
      <c r="BE23" s="8"/>
      <c r="BF23" s="7">
        <v>4.0067573288427756E-2</v>
      </c>
      <c r="BG23" s="8">
        <v>9.5761500159342337</v>
      </c>
      <c r="BH23" s="7"/>
      <c r="BI23" s="8"/>
      <c r="BJ23" s="7">
        <v>0.1556618686242649</v>
      </c>
      <c r="BK23" s="8">
        <v>2531.9959550422927</v>
      </c>
    </row>
    <row r="24" spans="1:63" x14ac:dyDescent="0.35">
      <c r="A24" s="6" t="s">
        <v>10</v>
      </c>
      <c r="B24" s="7">
        <v>0.17460601265604903</v>
      </c>
      <c r="C24" s="8">
        <v>33.349748417305364</v>
      </c>
      <c r="D24" s="7"/>
      <c r="E24" s="8"/>
      <c r="F24" s="7">
        <v>0.2028998329554762</v>
      </c>
      <c r="G24" s="8">
        <v>16.637786302349049</v>
      </c>
      <c r="H24" s="7">
        <v>0.16446583514728044</v>
      </c>
      <c r="I24" s="8">
        <v>53.451396422866139</v>
      </c>
      <c r="J24" s="7"/>
      <c r="K24" s="8"/>
      <c r="L24" s="7">
        <v>3.4227603011325269E-2</v>
      </c>
      <c r="M24" s="8">
        <v>58.050014707207652</v>
      </c>
      <c r="N24" s="7"/>
      <c r="O24" s="8"/>
      <c r="P24" s="7">
        <v>1.2632451747513688E-2</v>
      </c>
      <c r="Q24" s="8">
        <v>2.5391228012502514</v>
      </c>
      <c r="R24" s="7"/>
      <c r="S24" s="8"/>
      <c r="T24" s="7"/>
      <c r="U24" s="8"/>
      <c r="V24" s="7">
        <v>0.117260629199588</v>
      </c>
      <c r="W24" s="8">
        <v>6.6838558643765165</v>
      </c>
      <c r="X24" s="7"/>
      <c r="Y24" s="8"/>
      <c r="Z24" s="7"/>
      <c r="AA24" s="8"/>
      <c r="AB24" s="7"/>
      <c r="AC24" s="8"/>
      <c r="AD24" s="7"/>
      <c r="AE24" s="8"/>
      <c r="AF24" s="7">
        <v>7.7500726270325657E-2</v>
      </c>
      <c r="AG24" s="8">
        <v>367.19844106880299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3.3069615491464276E-2</v>
      </c>
      <c r="BK24" s="8">
        <v>537.91036558415794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8.5288942862971687E-2</v>
      </c>
      <c r="M25" s="10">
        <v>144.65004709559997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8.8927853864256712E-3</v>
      </c>
      <c r="BK25" s="10">
        <v>144.65004709559997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0.33256435242113214</v>
      </c>
      <c r="M26" s="10">
        <v>564.02914170624013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3.4675343766521587E-2</v>
      </c>
      <c r="BK26" s="10">
        <v>564.02914170624013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0.1622075840954354</v>
      </c>
      <c r="I27" s="10">
        <v>52.717464831016507</v>
      </c>
      <c r="J27" s="9">
        <v>5.2914958291850833E-2</v>
      </c>
      <c r="K27" s="10">
        <v>11.905865615666437</v>
      </c>
      <c r="L27" s="9">
        <v>7.4138508167292824E-2</v>
      </c>
      <c r="M27" s="10">
        <v>125.73890985172864</v>
      </c>
      <c r="N27" s="9"/>
      <c r="O27" s="10"/>
      <c r="P27" s="9">
        <v>0.24762495289437825</v>
      </c>
      <c r="Q27" s="10">
        <v>49.772615531770029</v>
      </c>
      <c r="R27" s="9">
        <v>0.11392522906843922</v>
      </c>
      <c r="S27" s="10">
        <v>47.051119605265399</v>
      </c>
      <c r="T27" s="9">
        <v>0.24698407301243247</v>
      </c>
      <c r="U27" s="10">
        <v>13.831108088696219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8.9946450745892886E-2</v>
      </c>
      <c r="AG27" s="10">
        <v>426.1662836340405</v>
      </c>
      <c r="AH27" s="9"/>
      <c r="AI27" s="10"/>
      <c r="AJ27" s="9"/>
      <c r="AK27" s="10"/>
      <c r="AL27" s="9"/>
      <c r="AM27" s="10"/>
      <c r="AN27" s="9">
        <v>0.34944728977991824</v>
      </c>
      <c r="AO27" s="10">
        <v>279.20838453415467</v>
      </c>
      <c r="AP27" s="9">
        <v>7.761033323276316E-2</v>
      </c>
      <c r="AQ27" s="10">
        <v>44.237889942675004</v>
      </c>
      <c r="AR27" s="9"/>
      <c r="AS27" s="10"/>
      <c r="AT27" s="9"/>
      <c r="AU27" s="10"/>
      <c r="AV27" s="9">
        <v>0.29575862189349178</v>
      </c>
      <c r="AW27" s="10">
        <v>119.48648324497067</v>
      </c>
      <c r="AX27" s="9">
        <v>8.8163862651064448E-2</v>
      </c>
      <c r="AY27" s="10">
        <v>17.720936392863955</v>
      </c>
      <c r="AZ27" s="9">
        <v>0.11499700600390564</v>
      </c>
      <c r="BA27" s="10">
        <v>22.194422158753788</v>
      </c>
      <c r="BB27" s="9"/>
      <c r="BC27" s="10"/>
      <c r="BD27" s="9"/>
      <c r="BE27" s="10"/>
      <c r="BF27" s="9"/>
      <c r="BG27" s="10"/>
      <c r="BH27" s="9">
        <v>6.2658804596994286E-2</v>
      </c>
      <c r="BI27" s="10">
        <v>33.585119263988936</v>
      </c>
      <c r="BJ27" s="9">
        <v>7.645497373020968E-2</v>
      </c>
      <c r="BK27" s="10">
        <v>1243.6166026955907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5.0483724669788413E-2</v>
      </c>
      <c r="M28" s="10">
        <v>85.620397039961148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5.2637647264208252E-3</v>
      </c>
      <c r="BK28" s="10">
        <v>85.620397039961148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2.349571399129223E-2</v>
      </c>
      <c r="AG29" s="8">
        <v>111.32269289074259</v>
      </c>
      <c r="AH29" s="7"/>
      <c r="AI29" s="8"/>
      <c r="AJ29" s="7"/>
      <c r="AK29" s="8"/>
      <c r="AL29" s="7"/>
      <c r="AM29" s="8"/>
      <c r="AN29" s="7"/>
      <c r="AO29" s="8"/>
      <c r="AP29" s="7">
        <v>3.6265787697842715E-2</v>
      </c>
      <c r="AQ29" s="8">
        <v>20.671498987770349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8.114729612597623E-3</v>
      </c>
      <c r="BK29" s="8">
        <v>131.99419187851294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7.1744012643631897E-3</v>
      </c>
      <c r="AG30" s="10">
        <v>33.992313190552792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4.8275777682667415E-3</v>
      </c>
      <c r="BK30" s="8">
        <v>78.525379978626816</v>
      </c>
    </row>
    <row r="31" spans="1:63" x14ac:dyDescent="0.35">
      <c r="A31" s="6" t="s">
        <v>12</v>
      </c>
      <c r="B31" s="9">
        <v>1.2800000000000002E-2</v>
      </c>
      <c r="C31" s="10">
        <v>2.4448000000000003</v>
      </c>
      <c r="D31" s="9">
        <v>0.8</v>
      </c>
      <c r="E31" s="10">
        <v>5.6000000000000005</v>
      </c>
      <c r="F31" s="9">
        <v>0.63300000000000001</v>
      </c>
      <c r="G31" s="10">
        <v>51.905999999999999</v>
      </c>
      <c r="H31" s="9"/>
      <c r="I31" s="10"/>
      <c r="J31" s="9">
        <v>0.52476540281491446</v>
      </c>
      <c r="K31" s="10">
        <v>118.07221563335575</v>
      </c>
      <c r="L31" s="9"/>
      <c r="M31" s="10"/>
      <c r="N31" s="9">
        <v>0.92500000000000004</v>
      </c>
      <c r="O31" s="10">
        <v>86.95</v>
      </c>
      <c r="P31" s="9">
        <v>0.12161646968020179</v>
      </c>
      <c r="Q31" s="10">
        <v>24.44491040572056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0</v>
      </c>
      <c r="AE31" s="10">
        <v>0</v>
      </c>
      <c r="AF31" s="9"/>
      <c r="AG31" s="10"/>
      <c r="AH31" s="9">
        <v>0.68799999999999994</v>
      </c>
      <c r="AI31" s="10">
        <v>97.007999999999996</v>
      </c>
      <c r="AJ31" s="9">
        <v>0.75</v>
      </c>
      <c r="AK31" s="10">
        <v>15.75</v>
      </c>
      <c r="AL31" s="9">
        <v>0.997</v>
      </c>
      <c r="AM31" s="10">
        <v>377.863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0.40081081081081082</v>
      </c>
      <c r="BC31" s="10"/>
      <c r="BD31" s="9">
        <v>4.7982678122876515E-2</v>
      </c>
      <c r="BE31" s="10">
        <v>22.791772108366345</v>
      </c>
      <c r="BF31" s="9"/>
      <c r="BG31" s="10"/>
      <c r="BH31" s="9"/>
      <c r="BI31" s="10"/>
      <c r="BJ31" s="9">
        <v>5.1179804386293049E-2</v>
      </c>
      <c r="BK31" s="10">
        <v>832.49069814744269</v>
      </c>
    </row>
    <row r="32" spans="1:63" x14ac:dyDescent="0.35">
      <c r="A32" s="6" t="s">
        <v>13</v>
      </c>
      <c r="B32" s="7">
        <v>1.5134860471860412E-3</v>
      </c>
      <c r="C32" s="8">
        <v>0.28907583501253387</v>
      </c>
      <c r="D32" s="7"/>
      <c r="E32" s="8"/>
      <c r="F32" s="7"/>
      <c r="G32" s="8"/>
      <c r="H32" s="7">
        <v>6.4374786467420392E-3</v>
      </c>
      <c r="I32" s="8">
        <v>2.0921805601911627</v>
      </c>
      <c r="J32" s="7">
        <v>9.2860666675386103E-3</v>
      </c>
      <c r="K32" s="8">
        <v>2.0893650001961874</v>
      </c>
      <c r="L32" s="7">
        <v>1.9973250426431877E-2</v>
      </c>
      <c r="M32" s="8">
        <v>33.874632723228466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3.2378134513473211E-2</v>
      </c>
      <c r="Y32" s="8">
        <v>79.844479710224945</v>
      </c>
      <c r="Z32" s="7"/>
      <c r="AA32" s="8"/>
      <c r="AB32" s="7"/>
      <c r="AC32" s="8"/>
      <c r="AD32" s="7"/>
      <c r="AE32" s="8"/>
      <c r="AF32" s="7">
        <v>1.49898207636862E-2</v>
      </c>
      <c r="AG32" s="8">
        <v>71.021770778345214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1.8034478050201294E-2</v>
      </c>
      <c r="AU32" s="8">
        <v>4.9955504199057588</v>
      </c>
      <c r="AV32" s="7"/>
      <c r="AW32" s="8"/>
      <c r="AX32" s="7">
        <v>8.4795332205688176E-3</v>
      </c>
      <c r="AY32" s="8">
        <v>2.3742693017592691</v>
      </c>
      <c r="AZ32" s="7"/>
      <c r="BA32" s="8"/>
      <c r="BB32" s="7"/>
      <c r="BC32" s="8">
        <v>29.66</v>
      </c>
      <c r="BD32" s="7"/>
      <c r="BE32" s="8"/>
      <c r="BF32" s="7">
        <v>0.11779971403938236</v>
      </c>
      <c r="BG32" s="8">
        <v>28.154131655412385</v>
      </c>
      <c r="BH32" s="7">
        <v>5.2158592096274159E-4</v>
      </c>
      <c r="BI32" s="8">
        <v>0.27957005363602949</v>
      </c>
      <c r="BJ32" s="7">
        <v>1.9325058628491432E-2</v>
      </c>
      <c r="BK32" s="8">
        <v>314.34140365104162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0.82972158871448076</v>
      </c>
      <c r="AC33" s="8">
        <v>570.01873144684828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3.5043571341869438E-2</v>
      </c>
      <c r="BK33" s="8">
        <v>570.01873144684828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1.4E-2</v>
      </c>
      <c r="F34" s="11"/>
      <c r="G34" s="17"/>
      <c r="H34" s="11">
        <v>1.0999999999999999E-2</v>
      </c>
      <c r="I34" s="17">
        <f>H34*H21</f>
        <v>3.5749999999999997</v>
      </c>
      <c r="J34" s="11">
        <v>3.0000000000000001E-3</v>
      </c>
      <c r="K34" s="17">
        <f>J34*J21</f>
        <v>0.67500000000000004</v>
      </c>
      <c r="L34" s="11"/>
      <c r="M34" s="12"/>
      <c r="N34" s="11"/>
      <c r="O34" s="12"/>
      <c r="P34" s="11">
        <v>1E-3</v>
      </c>
      <c r="Q34" s="17">
        <f>P34*P21</f>
        <v>0.20100000000000001</v>
      </c>
      <c r="R34" s="11"/>
      <c r="S34" s="17"/>
      <c r="T34" s="11"/>
      <c r="U34" s="12"/>
      <c r="V34" s="11">
        <v>1.6E-2</v>
      </c>
      <c r="W34" s="17">
        <f>V34*V21</f>
        <v>0.91200000000000003</v>
      </c>
      <c r="X34" s="11">
        <v>4.2999999999999997E-2</v>
      </c>
      <c r="Y34" s="17">
        <f>X34*X21</f>
        <v>106.038</v>
      </c>
      <c r="Z34" s="11">
        <v>0.82499999999999996</v>
      </c>
      <c r="AA34" s="17">
        <f>Z34*Z21</f>
        <v>18.149999999999999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2.653</v>
      </c>
      <c r="AN34" s="11"/>
      <c r="AO34" s="12"/>
      <c r="AP34" s="11">
        <v>5.0000000000000001E-3</v>
      </c>
      <c r="AQ34" s="17">
        <f>AP34*AP21</f>
        <v>2.85</v>
      </c>
      <c r="AR34" s="11"/>
      <c r="AS34" s="12"/>
      <c r="AT34" s="11">
        <v>1.9E-2</v>
      </c>
      <c r="AU34" s="17">
        <f>AT34*AT21</f>
        <v>5.2629999999999999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1.1950000000000001</v>
      </c>
      <c r="BH34" s="11"/>
      <c r="BI34" s="12"/>
      <c r="BJ34" s="11">
        <v>2.8383020573216389E-2</v>
      </c>
      <c r="BK34" s="12">
        <v>461.6782126439378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5.7670561628345197E-2</v>
      </c>
      <c r="Y35" s="8">
        <v>142.21560497549925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8.7431209255809193E-3</v>
      </c>
      <c r="BK35" s="8">
        <v>142.21560497549925</v>
      </c>
    </row>
    <row r="36" spans="1:63" ht="58" x14ac:dyDescent="0.35">
      <c r="A36" s="6" t="s">
        <v>229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/>
      <c r="AG36" s="8"/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0.30756443993616422</v>
      </c>
      <c r="BK36" s="8">
        <v>5002.8431800016469</v>
      </c>
    </row>
    <row r="37" spans="1:63" ht="43.5" x14ac:dyDescent="0.35">
      <c r="A37" s="6" t="s">
        <v>230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0.15012460466998245</v>
      </c>
      <c r="BK37" s="8">
        <v>2441.9268195619347</v>
      </c>
    </row>
    <row r="38" spans="1:63" x14ac:dyDescent="0.35">
      <c r="A38" s="6" t="s">
        <v>54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>
        <v>5.2397449886928855E-2</v>
      </c>
      <c r="AG38" s="8">
        <v>248.25911756426891</v>
      </c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1.5262456508316051E-2</v>
      </c>
      <c r="BK38" s="8">
        <v>248.25911756426891</v>
      </c>
    </row>
    <row r="39" spans="1:63" x14ac:dyDescent="0.35">
      <c r="A39" s="6" t="s">
        <v>204</v>
      </c>
      <c r="B39" s="13">
        <v>0.32834617303349978</v>
      </c>
      <c r="C39" s="14">
        <v>62.714119049398455</v>
      </c>
      <c r="D39" s="13">
        <v>0.84504486003506918</v>
      </c>
      <c r="E39" s="14">
        <v>5.9153140202454839</v>
      </c>
      <c r="F39" s="13">
        <v>0.82177532489013072</v>
      </c>
      <c r="G39" s="14">
        <v>67.38557664099072</v>
      </c>
      <c r="H39" s="13">
        <v>0.55166008933210364</v>
      </c>
      <c r="I39" s="14">
        <v>179.28952903293367</v>
      </c>
      <c r="J39" s="13">
        <v>0.57394343769804212</v>
      </c>
      <c r="K39" s="14">
        <v>129.13727348205947</v>
      </c>
      <c r="L39" s="13">
        <v>0.52327142925373971</v>
      </c>
      <c r="M39" s="14">
        <v>887.46834401434251</v>
      </c>
      <c r="N39" s="13">
        <v>0.92500000000000004</v>
      </c>
      <c r="O39" s="14">
        <v>86.95</v>
      </c>
      <c r="P39" s="13">
        <v>0.44916206917856416</v>
      </c>
      <c r="Q39" s="14">
        <v>90.281575904891397</v>
      </c>
      <c r="R39" s="13">
        <v>0.31813747576994378</v>
      </c>
      <c r="S39" s="14">
        <v>131.39077749298679</v>
      </c>
      <c r="T39" s="13">
        <v>0.24698407301243241</v>
      </c>
      <c r="U39" s="14">
        <v>13.831108088696215</v>
      </c>
      <c r="V39" s="13">
        <v>0.69782045017659189</v>
      </c>
      <c r="W39" s="14">
        <v>39.775765660065737</v>
      </c>
      <c r="X39" s="13">
        <v>0.76655295404471302</v>
      </c>
      <c r="Y39" s="14">
        <v>1890.3195846742624</v>
      </c>
      <c r="Z39" s="13">
        <v>0.82499999999999996</v>
      </c>
      <c r="AA39" s="14">
        <v>18.149999999999999</v>
      </c>
      <c r="AB39" s="13">
        <v>0.82972158871448076</v>
      </c>
      <c r="AC39" s="14">
        <v>570.01873144684828</v>
      </c>
      <c r="AD39" s="13">
        <v>0</v>
      </c>
      <c r="AE39" s="14">
        <v>0</v>
      </c>
      <c r="AF39" s="13">
        <v>0.24029140432312035</v>
      </c>
      <c r="AG39" s="14">
        <v>1138.5006736829441</v>
      </c>
      <c r="AH39" s="13">
        <v>0.68799999999999994</v>
      </c>
      <c r="AI39" s="14">
        <v>97.007999999999996</v>
      </c>
      <c r="AJ39" s="13">
        <v>0.75</v>
      </c>
      <c r="AK39" s="14">
        <v>15.75</v>
      </c>
      <c r="AL39" s="13">
        <v>0.99766163758853232</v>
      </c>
      <c r="AM39" s="14">
        <v>378.11376064605378</v>
      </c>
      <c r="AN39" s="13">
        <v>0.34944728977991824</v>
      </c>
      <c r="AO39" s="14">
        <v>279.20838453415467</v>
      </c>
      <c r="AP39" s="13">
        <v>0.12092734108521608</v>
      </c>
      <c r="AQ39" s="14">
        <v>68.928584418573166</v>
      </c>
      <c r="AR39" s="13">
        <v>0</v>
      </c>
      <c r="AS39" s="14" t="s">
        <v>68</v>
      </c>
      <c r="AT39" s="13">
        <v>0.47122504666852472</v>
      </c>
      <c r="AU39" s="14">
        <v>130.52933792718136</v>
      </c>
      <c r="AV39" s="13">
        <v>0.38091807924926324</v>
      </c>
      <c r="AW39" s="14">
        <v>153.89090401670234</v>
      </c>
      <c r="AX39" s="13">
        <v>9.5895807469429939E-2</v>
      </c>
      <c r="AY39" s="14">
        <v>19.275057301355417</v>
      </c>
      <c r="AZ39" s="13">
        <v>0.11499700600390561</v>
      </c>
      <c r="BA39" s="14">
        <v>22.194422158753781</v>
      </c>
      <c r="BB39" s="13">
        <v>0.40081081081081082</v>
      </c>
      <c r="BC39" s="14">
        <v>29.66</v>
      </c>
      <c r="BD39" s="13">
        <v>4.7982678122876488E-2</v>
      </c>
      <c r="BE39" s="14">
        <v>23.75142567082386</v>
      </c>
      <c r="BF39" s="13">
        <v>0.15738160195892037</v>
      </c>
      <c r="BG39" s="14">
        <v>37.61420286818197</v>
      </c>
      <c r="BH39" s="13">
        <v>6.3147708567654837E-2</v>
      </c>
      <c r="BI39" s="14">
        <v>33.847171792262991</v>
      </c>
      <c r="BJ39" s="13">
        <v>0.39681582281252803</v>
      </c>
      <c r="BK39" s="14">
        <v>6454.6061738685812</v>
      </c>
    </row>
    <row r="40" spans="1:63" s="15" customFormat="1" ht="63" customHeight="1" x14ac:dyDescent="0.35">
      <c r="A40" s="1" t="s">
        <v>23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544</v>
      </c>
      <c r="C42" s="65"/>
      <c r="D42" s="65">
        <v>30</v>
      </c>
      <c r="E42" s="65"/>
      <c r="F42" s="65">
        <v>323</v>
      </c>
      <c r="G42" s="65"/>
      <c r="H42" s="65">
        <v>920</v>
      </c>
      <c r="I42" s="65"/>
      <c r="J42" s="65">
        <v>610</v>
      </c>
      <c r="K42" s="65"/>
      <c r="L42" s="65">
        <v>3671</v>
      </c>
      <c r="M42" s="65"/>
      <c r="N42" s="65">
        <v>142</v>
      </c>
      <c r="O42" s="65"/>
      <c r="P42" s="65">
        <v>596</v>
      </c>
      <c r="Q42" s="65"/>
      <c r="R42" s="65">
        <v>812</v>
      </c>
      <c r="S42" s="65"/>
      <c r="T42" s="65">
        <v>76</v>
      </c>
      <c r="U42" s="65"/>
      <c r="V42" s="65">
        <v>293</v>
      </c>
      <c r="W42" s="65"/>
      <c r="X42" s="65">
        <v>4997</v>
      </c>
      <c r="Y42" s="65"/>
      <c r="Z42" s="65">
        <v>208</v>
      </c>
      <c r="AA42" s="65"/>
      <c r="AB42" s="65">
        <v>1363</v>
      </c>
      <c r="AC42" s="65"/>
      <c r="AD42" s="65">
        <v>7</v>
      </c>
      <c r="AE42" s="65"/>
      <c r="AF42" s="65"/>
      <c r="AG42" s="65"/>
      <c r="AH42" s="65">
        <v>141</v>
      </c>
      <c r="AI42" s="65"/>
      <c r="AJ42" s="65">
        <v>21</v>
      </c>
      <c r="AK42" s="65"/>
      <c r="AL42" s="65">
        <v>379</v>
      </c>
      <c r="AM42" s="65"/>
      <c r="AN42" s="65">
        <v>799</v>
      </c>
      <c r="AO42" s="65"/>
      <c r="AP42" s="65">
        <v>570</v>
      </c>
      <c r="AQ42" s="65"/>
      <c r="AR42" s="65">
        <v>71</v>
      </c>
      <c r="AS42" s="65"/>
      <c r="AT42" s="65">
        <v>828</v>
      </c>
      <c r="AU42" s="65"/>
      <c r="AV42" s="65">
        <v>1107</v>
      </c>
      <c r="AW42" s="65"/>
      <c r="AX42" s="65">
        <v>278</v>
      </c>
      <c r="AY42" s="65"/>
      <c r="AZ42" s="65">
        <v>473</v>
      </c>
      <c r="BA42" s="65"/>
      <c r="BB42" s="65">
        <v>147</v>
      </c>
      <c r="BC42" s="65"/>
      <c r="BD42" s="65">
        <v>1023</v>
      </c>
      <c r="BE42" s="65"/>
      <c r="BF42" s="65">
        <v>604</v>
      </c>
      <c r="BG42" s="65"/>
      <c r="BH42" s="65">
        <v>977</v>
      </c>
      <c r="BI42" s="65"/>
      <c r="BJ42" s="65">
        <v>31450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 t="s">
        <v>7</v>
      </c>
      <c r="G43" s="5" t="s">
        <v>8</v>
      </c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0.18225406003927014</v>
      </c>
      <c r="C44" s="8">
        <v>99.146208661362962</v>
      </c>
      <c r="D44" s="7">
        <v>0.24250169092151508</v>
      </c>
      <c r="E44" s="8">
        <v>7.2750507276454526</v>
      </c>
      <c r="F44" s="7">
        <v>0.39111041378295497</v>
      </c>
      <c r="G44" s="8">
        <v>126.32866365189446</v>
      </c>
      <c r="H44" s="7">
        <v>0.34239541208830043</v>
      </c>
      <c r="I44" s="8">
        <v>315.00377912123639</v>
      </c>
      <c r="J44" s="7">
        <v>0.14796473094290039</v>
      </c>
      <c r="K44" s="8">
        <v>90.258485875169242</v>
      </c>
      <c r="L44" s="7">
        <v>6.8552701953072961E-2</v>
      </c>
      <c r="M44" s="8">
        <v>251.65696886973083</v>
      </c>
      <c r="N44" s="7"/>
      <c r="O44" s="8"/>
      <c r="P44" s="7">
        <v>0.20880773460694624</v>
      </c>
      <c r="Q44" s="8">
        <v>124.44940982573996</v>
      </c>
      <c r="R44" s="7">
        <v>0.24014260467347262</v>
      </c>
      <c r="S44" s="8">
        <v>194.99579499485978</v>
      </c>
      <c r="T44" s="7"/>
      <c r="U44" s="8"/>
      <c r="V44" s="7">
        <v>0.65681941688174772</v>
      </c>
      <c r="W44" s="8">
        <v>192.44808914635209</v>
      </c>
      <c r="X44" s="7">
        <v>0.7404895957700186</v>
      </c>
      <c r="Y44" s="8">
        <v>3700.2265100627828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0.215051221393882</v>
      </c>
      <c r="AM44" s="8">
        <v>81.504412908281282</v>
      </c>
      <c r="AN44" s="7"/>
      <c r="AO44" s="8"/>
      <c r="AP44" s="7">
        <v>6.129073726215223E-3</v>
      </c>
      <c r="AQ44" s="8">
        <v>3.4935720239426771</v>
      </c>
      <c r="AR44" s="7"/>
      <c r="AS44" s="8"/>
      <c r="AT44" s="7">
        <v>0.46301589185078268</v>
      </c>
      <c r="AU44" s="8">
        <v>383.37715845244804</v>
      </c>
      <c r="AV44" s="7">
        <v>0.13098333501364232</v>
      </c>
      <c r="AW44" s="8">
        <v>144.99855186010205</v>
      </c>
      <c r="AX44" s="7"/>
      <c r="AY44" s="8"/>
      <c r="AZ44" s="7"/>
      <c r="BA44" s="8"/>
      <c r="BB44" s="7"/>
      <c r="BC44" s="8"/>
      <c r="BD44" s="7"/>
      <c r="BE44" s="8"/>
      <c r="BF44" s="7">
        <v>3.5292874564728287E-2</v>
      </c>
      <c r="BG44" s="8">
        <v>21.316896237095886</v>
      </c>
      <c r="BH44" s="7"/>
      <c r="BI44" s="8"/>
      <c r="BJ44" s="7">
        <v>0.18239998576847838</v>
      </c>
      <c r="BK44" s="8">
        <v>5736.4795524186447</v>
      </c>
    </row>
    <row r="45" spans="1:63" x14ac:dyDescent="0.35">
      <c r="A45" s="6" t="s">
        <v>10</v>
      </c>
      <c r="B45" s="7">
        <v>0.33209406669987862</v>
      </c>
      <c r="C45" s="8">
        <v>180.65917228473398</v>
      </c>
      <c r="D45" s="7"/>
      <c r="E45" s="8"/>
      <c r="F45" s="7">
        <v>0.37513943875048095</v>
      </c>
      <c r="G45" s="8">
        <v>121.17003871640534</v>
      </c>
      <c r="H45" s="7">
        <v>0.12903877994362886</v>
      </c>
      <c r="I45" s="8">
        <v>118.71567754813856</v>
      </c>
      <c r="J45" s="7"/>
      <c r="K45" s="8"/>
      <c r="L45" s="7">
        <v>5.9091598834692179E-2</v>
      </c>
      <c r="M45" s="8">
        <v>216.925259322155</v>
      </c>
      <c r="N45" s="7"/>
      <c r="O45" s="8"/>
      <c r="P45" s="7">
        <v>6.9333049522906462E-2</v>
      </c>
      <c r="Q45" s="8">
        <v>41.322497515652252</v>
      </c>
      <c r="R45" s="7"/>
      <c r="S45" s="8"/>
      <c r="T45" s="7"/>
      <c r="U45" s="8"/>
      <c r="V45" s="7">
        <v>0.21846403506136583</v>
      </c>
      <c r="W45" s="8">
        <v>64.009962272980189</v>
      </c>
      <c r="X45" s="7"/>
      <c r="Y45" s="8"/>
      <c r="Z45" s="7"/>
      <c r="AA45" s="8"/>
      <c r="AB45" s="7"/>
      <c r="AC45" s="8"/>
      <c r="AD45" s="7"/>
      <c r="AE45" s="8"/>
      <c r="AF45" s="7">
        <v>7.7110130421840187E-2</v>
      </c>
      <c r="AG45" s="8">
        <v>367.19844106880299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3.529415099296878E-2</v>
      </c>
      <c r="BK45" s="8">
        <v>1110.0010487288682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0.13360974673728895</v>
      </c>
      <c r="M46" s="10">
        <v>490.48138027258773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1.5595592377506764E-2</v>
      </c>
      <c r="BK46" s="10">
        <v>490.48138027258773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0.29772192193162283</v>
      </c>
      <c r="M47" s="10">
        <v>1092.9371754109875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3.4751579504323928E-2</v>
      </c>
      <c r="BK47" s="10">
        <v>1092.9371754109875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0.25964936129391059</v>
      </c>
      <c r="I48" s="10">
        <v>238.87741239039772</v>
      </c>
      <c r="J48" s="9">
        <v>7.3489005364920659E-2</v>
      </c>
      <c r="K48" s="10">
        <v>44.828293272601606</v>
      </c>
      <c r="L48" s="9">
        <v>0.1211502009748478</v>
      </c>
      <c r="M48" s="10">
        <v>444.74238777866628</v>
      </c>
      <c r="N48" s="9"/>
      <c r="O48" s="10"/>
      <c r="P48" s="9">
        <v>0.24887985302799684</v>
      </c>
      <c r="Q48" s="10">
        <v>148.33239240468612</v>
      </c>
      <c r="R48" s="9">
        <v>0.1308827007374917</v>
      </c>
      <c r="S48" s="10">
        <v>106.27675299884325</v>
      </c>
      <c r="T48" s="9">
        <v>0.21797904173945309</v>
      </c>
      <c r="U48" s="10">
        <v>16.566407172198435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8.9946450745892886E-2</v>
      </c>
      <c r="AG48" s="10">
        <v>426.1662836340405</v>
      </c>
      <c r="AH48" s="9"/>
      <c r="AI48" s="10"/>
      <c r="AJ48" s="9"/>
      <c r="AK48" s="10"/>
      <c r="AL48" s="9"/>
      <c r="AM48" s="10"/>
      <c r="AN48" s="9">
        <v>0.34944728977991824</v>
      </c>
      <c r="AO48" s="10">
        <v>279.20838453415467</v>
      </c>
      <c r="AP48" s="9">
        <v>7.761033323276316E-2</v>
      </c>
      <c r="AQ48" s="10">
        <v>44.237889942675004</v>
      </c>
      <c r="AR48" s="9"/>
      <c r="AS48" s="10"/>
      <c r="AT48" s="9"/>
      <c r="AU48" s="10"/>
      <c r="AV48" s="9">
        <v>0.24916825666752693</v>
      </c>
      <c r="AW48" s="10">
        <v>275.82926013095232</v>
      </c>
      <c r="AX48" s="9">
        <v>9.0340494671850111E-2</v>
      </c>
      <c r="AY48" s="10">
        <v>25.11465751877433</v>
      </c>
      <c r="AZ48" s="9">
        <v>0.1461905944749757</v>
      </c>
      <c r="BA48" s="10">
        <v>69.148151186663512</v>
      </c>
      <c r="BB48" s="9"/>
      <c r="BC48" s="10"/>
      <c r="BD48" s="9"/>
      <c r="BE48" s="10"/>
      <c r="BF48" s="9"/>
      <c r="BG48" s="10"/>
      <c r="BH48" s="9">
        <v>3.4375761785044971E-2</v>
      </c>
      <c r="BI48" s="10">
        <v>33.585119263988936</v>
      </c>
      <c r="BJ48" s="9">
        <v>6.8455115810131723E-2</v>
      </c>
      <c r="BK48" s="10">
        <v>2152.9133922286428</v>
      </c>
    </row>
    <row r="49" spans="1:63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4.6453528482754414E-2</v>
      </c>
      <c r="M49" s="10">
        <v>170.53090306019146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5.4222862658248475E-3</v>
      </c>
      <c r="BK49" s="10">
        <v>170.53090306019146</v>
      </c>
    </row>
    <row r="50" spans="1:63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2.3377297961096721E-2</v>
      </c>
      <c r="AG50" s="8">
        <v>111.32269289074259</v>
      </c>
      <c r="AH50" s="7"/>
      <c r="AI50" s="8"/>
      <c r="AJ50" s="7"/>
      <c r="AK50" s="8"/>
      <c r="AL50" s="7"/>
      <c r="AM50" s="8"/>
      <c r="AN50" s="7"/>
      <c r="AO50" s="8"/>
      <c r="AP50" s="7">
        <v>3.6265787697842715E-2</v>
      </c>
      <c r="AQ50" s="8">
        <v>20.671498987770349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4.1969536368366596E-3</v>
      </c>
      <c r="BK50" s="8">
        <v>131.99419187851294</v>
      </c>
    </row>
    <row r="51" spans="1:63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7.1382430051559831E-3</v>
      </c>
      <c r="AG51" s="10">
        <v>33.992313190552792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2.4968324317528401E-3</v>
      </c>
      <c r="BK51" s="8">
        <v>78.525379978626816</v>
      </c>
    </row>
    <row r="52" spans="1:63" x14ac:dyDescent="0.35">
      <c r="A52" s="6" t="s">
        <v>12</v>
      </c>
      <c r="B52" s="9">
        <v>1.2800000000000001E-2</v>
      </c>
      <c r="C52" s="10">
        <v>6.9632000000000005</v>
      </c>
      <c r="D52" s="9">
        <v>0.80000000000000016</v>
      </c>
      <c r="E52" s="10">
        <v>24.000000000000004</v>
      </c>
      <c r="F52" s="9">
        <v>0.70089783281733742</v>
      </c>
      <c r="G52" s="10">
        <v>226.39</v>
      </c>
      <c r="H52" s="9"/>
      <c r="I52" s="10"/>
      <c r="J52" s="9">
        <v>0.53193624394295247</v>
      </c>
      <c r="K52" s="10">
        <v>324.48110880520102</v>
      </c>
      <c r="L52" s="9"/>
      <c r="M52" s="10"/>
      <c r="N52" s="9">
        <v>0.91215492957746491</v>
      </c>
      <c r="O52" s="10">
        <v>129.52600000000001</v>
      </c>
      <c r="P52" s="9">
        <v>0.13426905675887443</v>
      </c>
      <c r="Q52" s="10">
        <v>80.024357828289169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7</v>
      </c>
      <c r="AF52" s="9"/>
      <c r="AG52" s="10"/>
      <c r="AH52" s="9">
        <v>0.68799999999999994</v>
      </c>
      <c r="AI52" s="10">
        <v>97.007999999999996</v>
      </c>
      <c r="AJ52" s="9">
        <v>0.75</v>
      </c>
      <c r="AK52" s="10">
        <v>15.75</v>
      </c>
      <c r="AL52" s="9">
        <v>0.997</v>
      </c>
      <c r="AM52" s="10">
        <v>377.863</v>
      </c>
      <c r="AN52" s="9"/>
      <c r="AO52" s="10"/>
      <c r="AP52" s="9"/>
      <c r="AQ52" s="10"/>
      <c r="AR52" s="9">
        <v>0.63300000000000001</v>
      </c>
      <c r="AS52" s="10">
        <v>44.942999999999998</v>
      </c>
      <c r="AT52" s="9"/>
      <c r="AU52" s="10"/>
      <c r="AV52" s="9"/>
      <c r="AW52" s="10"/>
      <c r="AX52" s="9"/>
      <c r="AY52" s="10"/>
      <c r="AZ52" s="9"/>
      <c r="BA52" s="10"/>
      <c r="BB52" s="9">
        <v>0.40659863945578228</v>
      </c>
      <c r="BC52" s="10">
        <v>59.769999999999996</v>
      </c>
      <c r="BD52" s="9">
        <v>4.4926506897969287E-2</v>
      </c>
      <c r="BE52" s="10">
        <v>47.038052722173845</v>
      </c>
      <c r="BF52" s="9"/>
      <c r="BG52" s="10"/>
      <c r="BH52" s="9"/>
      <c r="BI52" s="10"/>
      <c r="BJ52" s="9">
        <v>4.5811053838450182E-2</v>
      </c>
      <c r="BK52" s="10">
        <v>1440.7576432192582</v>
      </c>
    </row>
    <row r="53" spans="1:63" x14ac:dyDescent="0.35">
      <c r="A53" s="6" t="s">
        <v>13</v>
      </c>
      <c r="B53" s="7">
        <v>1.5134860471860412E-3</v>
      </c>
      <c r="C53" s="8">
        <v>0.8233364096692064</v>
      </c>
      <c r="D53" s="7"/>
      <c r="E53" s="8"/>
      <c r="F53" s="7"/>
      <c r="G53" s="8"/>
      <c r="H53" s="7">
        <v>4.4972612554376916E-3</v>
      </c>
      <c r="I53" s="8">
        <v>4.1374803550026762</v>
      </c>
      <c r="J53" s="7">
        <v>6.130328962620577E-3</v>
      </c>
      <c r="K53" s="8">
        <v>3.739500667198552</v>
      </c>
      <c r="L53" s="7">
        <v>1.5721115258896714E-2</v>
      </c>
      <c r="M53" s="8">
        <v>57.712214115409843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3.0701995372706806E-2</v>
      </c>
      <c r="Y53" s="8">
        <v>153.41787087741591</v>
      </c>
      <c r="Z53" s="7"/>
      <c r="AA53" s="8"/>
      <c r="AB53" s="7"/>
      <c r="AC53" s="8"/>
      <c r="AD53" s="7"/>
      <c r="AE53" s="8"/>
      <c r="AF53" s="7">
        <v>1.4917410939218126E-2</v>
      </c>
      <c r="AG53" s="8">
        <v>71.036710892556712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2.0030854861795497E-2</v>
      </c>
      <c r="AU53" s="8">
        <v>16.585547825566671</v>
      </c>
      <c r="AV53" s="7"/>
      <c r="AW53" s="8"/>
      <c r="AX53" s="7">
        <v>7.6167881225296021E-3</v>
      </c>
      <c r="AY53" s="8">
        <v>2.719193359743068</v>
      </c>
      <c r="AZ53" s="7"/>
      <c r="BA53" s="8"/>
      <c r="BB53" s="7"/>
      <c r="BC53" s="8"/>
      <c r="BD53" s="7"/>
      <c r="BE53" s="8"/>
      <c r="BF53" s="7">
        <v>0.10269560908036558</v>
      </c>
      <c r="BG53" s="8">
        <v>62.028147884540815</v>
      </c>
      <c r="BH53" s="7">
        <v>5.2158592096274159E-4</v>
      </c>
      <c r="BI53" s="8">
        <v>0.50958944478059853</v>
      </c>
      <c r="BJ53" s="7">
        <v>1.759234223326539E-2</v>
      </c>
      <c r="BK53" s="8">
        <v>553.2791632361965</v>
      </c>
    </row>
    <row r="54" spans="1:63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0.84907858511781098</v>
      </c>
      <c r="AC54" s="8">
        <v>1157.2941115155763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3.6797904976647894E-2</v>
      </c>
      <c r="BK54" s="8">
        <v>1157.2941115155763</v>
      </c>
    </row>
    <row r="55" spans="1:63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0.15</v>
      </c>
      <c r="F55" s="11"/>
      <c r="G55" s="17"/>
      <c r="H55" s="11">
        <v>2.5999999999999999E-2</v>
      </c>
      <c r="I55" s="17">
        <f>H55*H42</f>
        <v>23.919999999999998</v>
      </c>
      <c r="J55" s="11">
        <v>0.02</v>
      </c>
      <c r="K55" s="17">
        <f>J55*J42</f>
        <v>12.200000000000001</v>
      </c>
      <c r="L55" s="11"/>
      <c r="M55" s="12"/>
      <c r="N55" s="11"/>
      <c r="O55" s="12"/>
      <c r="P55" s="11">
        <v>2E-3</v>
      </c>
      <c r="Q55" s="17">
        <f>P55*P42</f>
        <v>1.1919999999999999</v>
      </c>
      <c r="R55" s="11"/>
      <c r="S55" s="17"/>
      <c r="T55" s="11"/>
      <c r="U55" s="12"/>
      <c r="V55" s="11">
        <v>2.7E-2</v>
      </c>
      <c r="W55" s="17">
        <f>V55*V42</f>
        <v>7.9109999999999996</v>
      </c>
      <c r="X55" s="11">
        <v>0.13200000000000001</v>
      </c>
      <c r="Y55" s="17">
        <f>X55*X42</f>
        <v>659.60400000000004</v>
      </c>
      <c r="Z55" s="11">
        <v>0.94399999999999995</v>
      </c>
      <c r="AA55" s="17">
        <f>Z55*Z42</f>
        <v>196.35199999999998</v>
      </c>
      <c r="AB55" s="11"/>
      <c r="AC55" s="12"/>
      <c r="AD55" s="11"/>
      <c r="AE55" s="12"/>
      <c r="AF55" s="11"/>
      <c r="AG55" s="17"/>
      <c r="AH55" s="11"/>
      <c r="AI55" s="12"/>
      <c r="AJ55" s="11"/>
      <c r="AK55" s="12"/>
      <c r="AL55" s="11">
        <v>7.0000000000000001E-3</v>
      </c>
      <c r="AM55" s="17">
        <f>AL55*AL42</f>
        <v>2.653</v>
      </c>
      <c r="AN55" s="11"/>
      <c r="AO55" s="12"/>
      <c r="AP55" s="11">
        <v>5.0000000000000001E-3</v>
      </c>
      <c r="AQ55" s="17">
        <f>AP55*AP42</f>
        <v>2.85</v>
      </c>
      <c r="AR55" s="11"/>
      <c r="AS55" s="12"/>
      <c r="AT55" s="11">
        <v>5.7000000000000002E-2</v>
      </c>
      <c r="AU55" s="17">
        <f>AT55*AT42</f>
        <v>47.196000000000005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4.2279999999999998</v>
      </c>
      <c r="BH55" s="11"/>
      <c r="BI55" s="12"/>
      <c r="BJ55" s="11">
        <v>4.3666185497255983E-2</v>
      </c>
      <c r="BK55" s="12">
        <v>1373.3015338887008</v>
      </c>
    </row>
    <row r="56" spans="1:63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5.7670561628345197E-2</v>
      </c>
      <c r="Y56" s="8">
        <v>288.17979645684096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9.1631095852731624E-3</v>
      </c>
      <c r="BK56" s="8">
        <v>288.17979645684096</v>
      </c>
    </row>
    <row r="57" spans="1:63" ht="58" x14ac:dyDescent="0.35">
      <c r="A57" s="6" t="s">
        <v>229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/>
      <c r="AG57" s="8"/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0.33118134473347238</v>
      </c>
      <c r="BK57" s="8">
        <v>10415.653291867706</v>
      </c>
    </row>
    <row r="58" spans="1:63" ht="43.5" x14ac:dyDescent="0.35">
      <c r="A58" s="6" t="s">
        <v>230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0.15072161803971906</v>
      </c>
      <c r="BK58" s="8">
        <v>4740.1948873491647</v>
      </c>
    </row>
    <row r="59" spans="1:63" x14ac:dyDescent="0.35">
      <c r="A59" s="6" t="s">
        <v>54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>
        <v>5.213337202105605E-2</v>
      </c>
      <c r="AG59" s="8">
        <v>248.25911756426891</v>
      </c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7.8937716236651481E-3</v>
      </c>
      <c r="BK59" s="8">
        <v>248.25911756426891</v>
      </c>
    </row>
    <row r="60" spans="1:63" x14ac:dyDescent="0.35">
      <c r="A60" s="6" t="s">
        <v>204</v>
      </c>
      <c r="B60" s="13">
        <v>0.46162975597736278</v>
      </c>
      <c r="C60" s="14">
        <v>251.12658725168535</v>
      </c>
      <c r="D60" s="13">
        <v>0.8492578364933816</v>
      </c>
      <c r="E60" s="14">
        <v>25.477735094801449</v>
      </c>
      <c r="F60" s="13">
        <v>0.88620027285460645</v>
      </c>
      <c r="G60" s="14">
        <v>286.24268813203787</v>
      </c>
      <c r="H60" s="13">
        <v>0.58884788921475018</v>
      </c>
      <c r="I60" s="14">
        <v>541.74005807757021</v>
      </c>
      <c r="J60" s="13">
        <v>0.64011091392157837</v>
      </c>
      <c r="K60" s="14">
        <v>390.4676574921628</v>
      </c>
      <c r="L60" s="13">
        <v>0.56015162379153494</v>
      </c>
      <c r="M60" s="14">
        <v>2056.3166109387248</v>
      </c>
      <c r="N60" s="13">
        <v>0.91215492957746491</v>
      </c>
      <c r="O60" s="14">
        <v>129.52600000000001</v>
      </c>
      <c r="P60" s="13">
        <v>0.52214160786804809</v>
      </c>
      <c r="Q60" s="14">
        <v>311.19639828935664</v>
      </c>
      <c r="R60" s="13">
        <v>0.33959479274916438</v>
      </c>
      <c r="S60" s="14">
        <v>275.75097171232147</v>
      </c>
      <c r="T60" s="13">
        <v>0.21797904173945315</v>
      </c>
      <c r="U60" s="14">
        <v>16.566407172198439</v>
      </c>
      <c r="V60" s="13">
        <v>0.73903364696521279</v>
      </c>
      <c r="W60" s="14">
        <v>216.53685856080736</v>
      </c>
      <c r="X60" s="13">
        <v>0.7942524953296981</v>
      </c>
      <c r="Y60" s="14">
        <v>3968.8797191625013</v>
      </c>
      <c r="Z60" s="13">
        <v>0.94399999999999995</v>
      </c>
      <c r="AA60" s="14">
        <v>196.35199999999998</v>
      </c>
      <c r="AB60" s="13">
        <v>0.84907858511781098</v>
      </c>
      <c r="AC60" s="14">
        <v>1157.2941115155763</v>
      </c>
      <c r="AD60" s="13">
        <v>1</v>
      </c>
      <c r="AE60" s="14">
        <v>7</v>
      </c>
      <c r="AF60" s="13">
        <v>0.23958215301870955</v>
      </c>
      <c r="AG60" s="14">
        <v>0</v>
      </c>
      <c r="AH60" s="13">
        <v>0.68799999999999994</v>
      </c>
      <c r="AI60" s="14">
        <v>97.007999999999996</v>
      </c>
      <c r="AJ60" s="13">
        <v>0.75</v>
      </c>
      <c r="AK60" s="14">
        <v>15.75</v>
      </c>
      <c r="AL60" s="13">
        <v>0.99766163758853232</v>
      </c>
      <c r="AM60" s="14">
        <v>378.11376064605378</v>
      </c>
      <c r="AN60" s="13">
        <v>0.34944728977991824</v>
      </c>
      <c r="AO60" s="14">
        <v>279.20838453415467</v>
      </c>
      <c r="AP60" s="13">
        <v>0.12092734108521608</v>
      </c>
      <c r="AQ60" s="14">
        <v>68.928584418573166</v>
      </c>
      <c r="AR60" s="13">
        <v>0.63300000000000001</v>
      </c>
      <c r="AS60" s="14">
        <v>44.942999999999998</v>
      </c>
      <c r="AT60" s="13">
        <v>0.50376713045691046</v>
      </c>
      <c r="AU60" s="14">
        <v>417.11918401832185</v>
      </c>
      <c r="AV60" s="13">
        <v>0.34751470244332139</v>
      </c>
      <c r="AW60" s="14">
        <v>384.6987756047568</v>
      </c>
      <c r="AX60" s="13">
        <v>9.7269178387579758E-2</v>
      </c>
      <c r="AY60" s="14">
        <v>27.040831591747171</v>
      </c>
      <c r="AZ60" s="13">
        <v>0.14619059447497573</v>
      </c>
      <c r="BA60" s="14">
        <v>69.148151186663526</v>
      </c>
      <c r="BB60" s="13">
        <v>0.40659863945578234</v>
      </c>
      <c r="BC60" s="14">
        <v>59.77</v>
      </c>
      <c r="BD60" s="13">
        <v>4.4926506897969287E-2</v>
      </c>
      <c r="BE60" s="14">
        <v>45.959816556622577</v>
      </c>
      <c r="BF60" s="13">
        <v>0.14042351197270375</v>
      </c>
      <c r="BG60" s="14">
        <v>84.815801231513063</v>
      </c>
      <c r="BH60" s="13">
        <v>3.4879417792638256E-2</v>
      </c>
      <c r="BI60" s="14">
        <v>34.077191183407578</v>
      </c>
      <c r="BJ60" s="13">
        <v>0.41454692906907986</v>
      </c>
      <c r="BK60" s="14">
        <v>13037.500919222563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60"/>
  <sheetViews>
    <sheetView zoomScale="80" zoomScaleNormal="80" workbookViewId="0"/>
  </sheetViews>
  <sheetFormatPr defaultRowHeight="14.5" x14ac:dyDescent="0.35"/>
  <cols>
    <col min="1" max="1" width="26.54296875" customWidth="1"/>
  </cols>
  <sheetData>
    <row r="1" spans="1:63" s="15" customFormat="1" ht="63" customHeight="1" x14ac:dyDescent="0.35">
      <c r="A1" s="1" t="s">
        <v>24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3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35">
      <c r="A3" s="2" t="s">
        <v>5</v>
      </c>
      <c r="B3" s="65">
        <v>83</v>
      </c>
      <c r="C3" s="65"/>
      <c r="D3" s="65">
        <v>15</v>
      </c>
      <c r="E3" s="65"/>
      <c r="F3" s="65">
        <v>124</v>
      </c>
      <c r="G3" s="65"/>
      <c r="H3" s="65">
        <v>317</v>
      </c>
      <c r="I3" s="65"/>
      <c r="J3" s="65">
        <v>267</v>
      </c>
      <c r="K3" s="65"/>
      <c r="L3" s="65">
        <v>1278</v>
      </c>
      <c r="M3" s="65"/>
      <c r="N3" s="65">
        <v>26</v>
      </c>
      <c r="O3" s="65"/>
      <c r="P3" s="65">
        <v>223</v>
      </c>
      <c r="Q3" s="65"/>
      <c r="R3" s="65">
        <v>238</v>
      </c>
      <c r="S3" s="65"/>
      <c r="T3" s="65">
        <v>13</v>
      </c>
      <c r="U3" s="65"/>
      <c r="V3" s="65">
        <v>126</v>
      </c>
      <c r="W3" s="65"/>
      <c r="X3" s="65">
        <v>1290</v>
      </c>
      <c r="Y3" s="65"/>
      <c r="Z3" s="65">
        <v>113</v>
      </c>
      <c r="AA3" s="65"/>
      <c r="AB3" s="65">
        <v>400</v>
      </c>
      <c r="AC3" s="65"/>
      <c r="AD3" s="65">
        <v>2</v>
      </c>
      <c r="AE3" s="65"/>
      <c r="AF3" s="65"/>
      <c r="AG3" s="65"/>
      <c r="AH3" s="65" t="s">
        <v>6</v>
      </c>
      <c r="AI3" s="65"/>
      <c r="AJ3" s="65" t="s">
        <v>6</v>
      </c>
      <c r="AK3" s="65"/>
      <c r="AL3" s="65" t="s">
        <v>6</v>
      </c>
      <c r="AM3" s="65"/>
      <c r="AN3" s="65" t="s">
        <v>6</v>
      </c>
      <c r="AO3" s="65"/>
      <c r="AP3" s="65" t="s">
        <v>6</v>
      </c>
      <c r="AQ3" s="65"/>
      <c r="AR3" s="65">
        <v>28</v>
      </c>
      <c r="AS3" s="65"/>
      <c r="AT3" s="65">
        <v>446</v>
      </c>
      <c r="AU3" s="65"/>
      <c r="AV3" s="65">
        <v>363</v>
      </c>
      <c r="AW3" s="65"/>
      <c r="AX3" s="65">
        <v>37</v>
      </c>
      <c r="AY3" s="65"/>
      <c r="AZ3" s="65">
        <v>149</v>
      </c>
      <c r="BA3" s="65"/>
      <c r="BB3" s="65">
        <v>62</v>
      </c>
      <c r="BC3" s="65"/>
      <c r="BD3" s="65">
        <v>344</v>
      </c>
      <c r="BE3" s="65"/>
      <c r="BF3" s="65">
        <v>393</v>
      </c>
      <c r="BG3" s="65"/>
      <c r="BH3" s="65">
        <v>347</v>
      </c>
      <c r="BI3" s="65"/>
      <c r="BJ3" s="65">
        <v>9837</v>
      </c>
      <c r="BK3" s="65"/>
    </row>
    <row r="4" spans="1:63" ht="29" x14ac:dyDescent="0.3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35">
      <c r="A5" s="6" t="s">
        <v>9</v>
      </c>
      <c r="B5" s="7">
        <v>0.18120879795238229</v>
      </c>
      <c r="C5" s="8">
        <v>15.040330230047729</v>
      </c>
      <c r="D5" s="7">
        <v>0.28987472420362365</v>
      </c>
      <c r="E5" s="8">
        <v>4.3481208630543549</v>
      </c>
      <c r="F5" s="7">
        <v>0.40231151070653531</v>
      </c>
      <c r="G5" s="8">
        <v>49.886627327610377</v>
      </c>
      <c r="H5" s="7">
        <v>0.34913134351192399</v>
      </c>
      <c r="I5" s="8">
        <v>110.6746358932799</v>
      </c>
      <c r="J5" s="7">
        <v>0.22952925245849259</v>
      </c>
      <c r="K5" s="8">
        <v>61.284310406417525</v>
      </c>
      <c r="L5" s="7">
        <v>8.4391682233719678E-2</v>
      </c>
      <c r="M5" s="8">
        <v>107.85256989469374</v>
      </c>
      <c r="N5" s="7"/>
      <c r="O5" s="8"/>
      <c r="P5" s="7">
        <v>0.25968659692718943</v>
      </c>
      <c r="Q5" s="8">
        <v>57.910111114763247</v>
      </c>
      <c r="R5" s="7">
        <v>0.26459869040605044</v>
      </c>
      <c r="S5" s="8">
        <v>62.974488316640006</v>
      </c>
      <c r="T5" s="7"/>
      <c r="U5" s="8"/>
      <c r="V5" s="7">
        <v>0.68039812965719704</v>
      </c>
      <c r="W5" s="8">
        <v>85.730164336806823</v>
      </c>
      <c r="X5" s="7">
        <v>0.76806955066412486</v>
      </c>
      <c r="Y5" s="8">
        <v>990.80972035672107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0.49423968004030716</v>
      </c>
      <c r="AU5" s="8">
        <v>220.430897297977</v>
      </c>
      <c r="AV5" s="7">
        <v>0.15082879300944485</v>
      </c>
      <c r="AW5" s="8">
        <v>54.750851862428476</v>
      </c>
      <c r="AX5" s="7"/>
      <c r="AY5" s="8"/>
      <c r="AZ5" s="7"/>
      <c r="BA5" s="8"/>
      <c r="BB5" s="7"/>
      <c r="BC5" s="8"/>
      <c r="BD5" s="7"/>
      <c r="BE5" s="8"/>
      <c r="BF5" s="7">
        <v>2.6364926623292921E-2</v>
      </c>
      <c r="BG5" s="8">
        <v>10.361416162954118</v>
      </c>
      <c r="BH5" s="7"/>
      <c r="BI5" s="8"/>
      <c r="BJ5" s="7">
        <v>0.18624115523669763</v>
      </c>
      <c r="BK5" s="8">
        <v>1832.0542440633947</v>
      </c>
    </row>
    <row r="6" spans="1:63" x14ac:dyDescent="0.35">
      <c r="A6" s="6" t="s">
        <v>10</v>
      </c>
      <c r="B6" s="7">
        <v>0.42136481950549781</v>
      </c>
      <c r="C6" s="8">
        <v>74.160208232967619</v>
      </c>
      <c r="D6" s="7"/>
      <c r="E6" s="8"/>
      <c r="F6" s="7">
        <v>0.42360158446933294</v>
      </c>
      <c r="G6" s="8">
        <v>52.526596474197284</v>
      </c>
      <c r="H6" s="7">
        <v>0.10419635517187666</v>
      </c>
      <c r="I6" s="8">
        <v>33.030244589484901</v>
      </c>
      <c r="J6" s="7"/>
      <c r="K6" s="8"/>
      <c r="L6" s="7">
        <v>8.4299110289716844E-2</v>
      </c>
      <c r="M6" s="8">
        <v>107.73426295025813</v>
      </c>
      <c r="N6" s="7"/>
      <c r="O6" s="8"/>
      <c r="P6" s="7">
        <v>9.0776063772413526E-2</v>
      </c>
      <c r="Q6" s="8">
        <v>20.243062221248216</v>
      </c>
      <c r="R6" s="7"/>
      <c r="S6" s="8"/>
      <c r="T6" s="7"/>
      <c r="U6" s="8"/>
      <c r="V6" s="7">
        <v>0.24906823249516305</v>
      </c>
      <c r="W6" s="8">
        <v>31.382597294390543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3.2436410670178585E-2</v>
      </c>
      <c r="BK6" s="8">
        <v>319.07697176254675</v>
      </c>
    </row>
    <row r="7" spans="1:63" x14ac:dyDescent="0.3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0.15925050535790169</v>
      </c>
      <c r="M7" s="10">
        <v>203.52214584739835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2.0689452663149165E-2</v>
      </c>
      <c r="BK7" s="10">
        <v>203.52214584739835</v>
      </c>
    </row>
    <row r="8" spans="1:63" x14ac:dyDescent="0.3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0.252195473398312</v>
      </c>
      <c r="M8" s="10">
        <v>322.30581500304277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3.2764645217347031E-2</v>
      </c>
      <c r="BK8" s="10">
        <v>322.30581500304277</v>
      </c>
    </row>
    <row r="9" spans="1:63" x14ac:dyDescent="0.35">
      <c r="A9" s="6" t="s">
        <v>11</v>
      </c>
      <c r="B9" s="9"/>
      <c r="C9" s="10"/>
      <c r="D9" s="9"/>
      <c r="E9" s="10"/>
      <c r="F9" s="9"/>
      <c r="G9" s="10"/>
      <c r="H9" s="9">
        <v>0.27594765002667632</v>
      </c>
      <c r="I9" s="10">
        <v>87.475405058456388</v>
      </c>
      <c r="J9" s="9">
        <v>9.6448783782157751E-2</v>
      </c>
      <c r="K9" s="10">
        <v>25.751825269836118</v>
      </c>
      <c r="L9" s="9">
        <v>0.13333646109807026</v>
      </c>
      <c r="M9" s="10">
        <v>170.40399728333381</v>
      </c>
      <c r="N9" s="9"/>
      <c r="O9" s="10"/>
      <c r="P9" s="9">
        <v>0.20328396989149541</v>
      </c>
      <c r="Q9" s="10">
        <v>45.332325285803478</v>
      </c>
      <c r="R9" s="9">
        <v>0.12285411360433485</v>
      </c>
      <c r="S9" s="10">
        <v>29.239279037831693</v>
      </c>
      <c r="T9" s="9">
        <v>9.6413302202729811E-2</v>
      </c>
      <c r="U9" s="10">
        <v>1.2533729286354875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0.18401135048401032</v>
      </c>
      <c r="AW9" s="10">
        <v>66.796120225695745</v>
      </c>
      <c r="AX9" s="9">
        <v>8.0457580458952405E-2</v>
      </c>
      <c r="AY9" s="10">
        <v>2.9769304769812388</v>
      </c>
      <c r="AZ9" s="9">
        <v>0.13771153643726877</v>
      </c>
      <c r="BA9" s="10">
        <v>20.519018929153045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4.5720064500937983E-2</v>
      </c>
      <c r="BK9" s="10">
        <v>449.74827449572695</v>
      </c>
    </row>
    <row r="10" spans="1:63" x14ac:dyDescent="0.3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4.0206856327351881E-2</v>
      </c>
      <c r="M10" s="10">
        <v>51.384362386355704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5.2235806024555969E-3</v>
      </c>
      <c r="BK10" s="10">
        <v>51.384362386355704</v>
      </c>
    </row>
    <row r="11" spans="1:63" x14ac:dyDescent="0.35">
      <c r="A11" s="6" t="s">
        <v>12</v>
      </c>
      <c r="B11" s="7">
        <v>1.2800000000000001E-2</v>
      </c>
      <c r="C11" s="8">
        <v>2.2528000000000001</v>
      </c>
      <c r="D11" s="7">
        <v>0.8</v>
      </c>
      <c r="E11" s="8">
        <v>12</v>
      </c>
      <c r="F11" s="7">
        <v>0.72399999999999998</v>
      </c>
      <c r="G11" s="8">
        <v>89.775999999999996</v>
      </c>
      <c r="H11" s="7"/>
      <c r="I11" s="8"/>
      <c r="J11" s="7">
        <v>0.27507076850406492</v>
      </c>
      <c r="K11" s="8">
        <v>73.443895190585337</v>
      </c>
      <c r="L11" s="7"/>
      <c r="M11" s="8"/>
      <c r="N11" s="7">
        <v>0.88700000000000001</v>
      </c>
      <c r="O11" s="8">
        <v>23.062000000000001</v>
      </c>
      <c r="P11" s="7">
        <v>9.6001339364162219E-2</v>
      </c>
      <c r="Q11" s="8">
        <v>21.408298678208176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2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17.724</v>
      </c>
      <c r="AT11" s="7"/>
      <c r="AU11" s="8"/>
      <c r="AV11" s="7"/>
      <c r="AW11" s="8"/>
      <c r="AX11" s="7"/>
      <c r="AY11" s="8"/>
      <c r="AZ11" s="7"/>
      <c r="BA11" s="8"/>
      <c r="BB11" s="7">
        <v>0.43016129032258066</v>
      </c>
      <c r="BC11" s="8">
        <v>26.67</v>
      </c>
      <c r="BD11" s="7">
        <v>3.4380964595657634E-2</v>
      </c>
      <c r="BE11" s="8">
        <v>10.864384812227811</v>
      </c>
      <c r="BF11" s="7"/>
      <c r="BG11" s="8"/>
      <c r="BH11" s="7"/>
      <c r="BI11" s="8"/>
      <c r="BJ11" s="7">
        <v>2.8382800916288579E-2</v>
      </c>
      <c r="BK11" s="8">
        <v>279.20161261353076</v>
      </c>
    </row>
    <row r="12" spans="1:63" x14ac:dyDescent="0.35">
      <c r="A12" s="6" t="s">
        <v>13</v>
      </c>
      <c r="B12" s="9">
        <v>1.4523821371411616E-3</v>
      </c>
      <c r="C12" s="10">
        <v>0.25561925613684444</v>
      </c>
      <c r="D12" s="9"/>
      <c r="E12" s="10"/>
      <c r="F12" s="9"/>
      <c r="G12" s="10"/>
      <c r="H12" s="9">
        <v>3.4198066708303028E-3</v>
      </c>
      <c r="I12" s="10">
        <v>1.084078714653206</v>
      </c>
      <c r="J12" s="9">
        <v>4.2745100982384231E-3</v>
      </c>
      <c r="K12" s="10">
        <v>1.141294196229659</v>
      </c>
      <c r="L12" s="9">
        <v>1.1808272153132671E-2</v>
      </c>
      <c r="M12" s="10">
        <v>15.090971811703554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6.036826138309119E-2</v>
      </c>
      <c r="Y12" s="10">
        <v>77.875057184187639</v>
      </c>
      <c r="Z12" s="9"/>
      <c r="AA12" s="10"/>
      <c r="AB12" s="9"/>
      <c r="AC12" s="10"/>
      <c r="AD12" s="9"/>
      <c r="AE12" s="10"/>
      <c r="AF12" s="9">
        <v>5.9736100713214668E-4</v>
      </c>
      <c r="AG12" s="10">
        <v>9.5577761141143469E-3</v>
      </c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2.0992702930657674E-2</v>
      </c>
      <c r="AU12" s="10">
        <v>9.3627455070733223</v>
      </c>
      <c r="AV12" s="9"/>
      <c r="AW12" s="10"/>
      <c r="AX12" s="9">
        <v>4.4601628617189047E-3</v>
      </c>
      <c r="AY12" s="10">
        <v>0.16502602588359946</v>
      </c>
      <c r="AZ12" s="9"/>
      <c r="BA12" s="10"/>
      <c r="BB12" s="9"/>
      <c r="BC12" s="10"/>
      <c r="BD12" s="9"/>
      <c r="BE12" s="10"/>
      <c r="BF12" s="9">
        <v>7.7918542178772685E-2</v>
      </c>
      <c r="BG12" s="10">
        <v>30.621987076257668</v>
      </c>
      <c r="BH12" s="9">
        <v>5.0051732746392297E-4</v>
      </c>
      <c r="BI12" s="10">
        <v>0.17367951262998127</v>
      </c>
      <c r="BJ12" s="9">
        <v>1.9925482216257364E-2</v>
      </c>
      <c r="BK12" s="8">
        <v>196.0069685613237</v>
      </c>
    </row>
    <row r="13" spans="1:63" x14ac:dyDescent="0.3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0.90996265224992812</v>
      </c>
      <c r="AC13" s="10">
        <v>363.98506089997124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3.7001632703056953E-2</v>
      </c>
      <c r="BK13" s="10">
        <v>363.98506089997124</v>
      </c>
    </row>
    <row r="14" spans="1:63" s="18" customFormat="1" x14ac:dyDescent="0.35">
      <c r="A14" s="16" t="s">
        <v>15</v>
      </c>
      <c r="B14" s="11"/>
      <c r="C14" s="17"/>
      <c r="D14" s="11">
        <v>6.0000000000000001E-3</v>
      </c>
      <c r="E14" s="17">
        <f>D14*D3</f>
        <v>0.09</v>
      </c>
      <c r="F14" s="11"/>
      <c r="G14" s="17"/>
      <c r="H14" s="11">
        <v>3.3000000000000002E-2</v>
      </c>
      <c r="I14" s="17">
        <f>H14*H3</f>
        <v>10.461</v>
      </c>
      <c r="J14" s="11">
        <v>0.03</v>
      </c>
      <c r="K14" s="17">
        <f>J14*J3</f>
        <v>8.01</v>
      </c>
      <c r="L14" s="11"/>
      <c r="M14" s="12"/>
      <c r="N14" s="11"/>
      <c r="O14" s="12"/>
      <c r="P14" s="11">
        <v>3.0000000000000001E-3</v>
      </c>
      <c r="Q14" s="17">
        <f>P14*P3</f>
        <v>0.66900000000000004</v>
      </c>
      <c r="R14" s="11">
        <v>2.0000000000000001E-4</v>
      </c>
      <c r="S14" s="17">
        <f>R14*R3</f>
        <v>4.7600000000000003E-2</v>
      </c>
      <c r="T14" s="11"/>
      <c r="U14" s="12"/>
      <c r="V14" s="11">
        <v>2.9000000000000001E-2</v>
      </c>
      <c r="W14" s="17">
        <f>V14*V3</f>
        <v>3.6540000000000004</v>
      </c>
      <c r="X14" s="11">
        <v>0.20499999999999999</v>
      </c>
      <c r="Y14" s="17">
        <f>X14*X3</f>
        <v>264.45</v>
      </c>
      <c r="Z14" s="11">
        <v>0.97</v>
      </c>
      <c r="AA14" s="17">
        <f>Z14*Z3</f>
        <v>109.61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31.665999999999997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3.5369999999999999</v>
      </c>
      <c r="BH14" s="11"/>
      <c r="BI14" s="12"/>
      <c r="BJ14" s="11">
        <v>5.2881929202113556E-2</v>
      </c>
      <c r="BK14" s="12">
        <v>520.19953756119105</v>
      </c>
    </row>
    <row r="15" spans="1:63" x14ac:dyDescent="0.3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6.3231850117095922E-2</v>
      </c>
      <c r="Y15" s="8">
        <v>81.569086651053738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8.2920693962644856E-3</v>
      </c>
      <c r="BK15" s="8">
        <v>81.569086651053738</v>
      </c>
    </row>
    <row r="16" spans="1:63" ht="58" x14ac:dyDescent="0.3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0.3233205474892894</v>
      </c>
      <c r="BK16" s="8">
        <v>3180.5042256521397</v>
      </c>
    </row>
    <row r="17" spans="1:63" ht="43.5" x14ac:dyDescent="0.3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0.13650124349460624</v>
      </c>
      <c r="BK17" s="8">
        <v>1342.7627322564415</v>
      </c>
    </row>
    <row r="18" spans="1:63" x14ac:dyDescent="0.35">
      <c r="A18" s="6" t="s">
        <v>204</v>
      </c>
      <c r="B18" s="13">
        <v>0.53296231067772015</v>
      </c>
      <c r="C18" s="14">
        <v>44.235871786250776</v>
      </c>
      <c r="D18" s="13">
        <v>0.85882709517168043</v>
      </c>
      <c r="E18" s="14">
        <v>12.882406427575207</v>
      </c>
      <c r="F18" s="13">
        <v>0.90491615129413083</v>
      </c>
      <c r="G18" s="14">
        <v>112.20960276047222</v>
      </c>
      <c r="H18" s="13">
        <v>0.5931682150717883</v>
      </c>
      <c r="I18" s="14">
        <v>188.0343241777569</v>
      </c>
      <c r="J18" s="13">
        <v>0.51256590851158212</v>
      </c>
      <c r="K18" s="14">
        <v>136.85509757259243</v>
      </c>
      <c r="L18" s="13">
        <v>0.56670123289178798</v>
      </c>
      <c r="M18" s="14">
        <v>724.24417563570501</v>
      </c>
      <c r="N18" s="13">
        <v>0.88700000000000001</v>
      </c>
      <c r="O18" s="14">
        <v>23.062000000000001</v>
      </c>
      <c r="P18" s="13">
        <v>0.51665973782759944</v>
      </c>
      <c r="Q18" s="14">
        <v>115.21512153555467</v>
      </c>
      <c r="R18" s="13">
        <v>0.35507477728639414</v>
      </c>
      <c r="S18" s="14">
        <v>84.507796994161808</v>
      </c>
      <c r="T18" s="13">
        <v>9.6413302202729811E-2</v>
      </c>
      <c r="U18" s="14">
        <v>1.2533729286354875</v>
      </c>
      <c r="V18" s="13">
        <v>0.76696077933006412</v>
      </c>
      <c r="W18" s="14">
        <v>96.637058195588082</v>
      </c>
      <c r="X18" s="13">
        <v>0.83770143042492085</v>
      </c>
      <c r="Y18" s="14">
        <v>1080.6348452481479</v>
      </c>
      <c r="Z18" s="13">
        <v>0.97</v>
      </c>
      <c r="AA18" s="14">
        <v>109.61</v>
      </c>
      <c r="AB18" s="13">
        <v>0.90996265224992812</v>
      </c>
      <c r="AC18" s="14">
        <v>363.98506089997124</v>
      </c>
      <c r="AD18" s="13">
        <v>1</v>
      </c>
      <c r="AE18" s="14">
        <v>2</v>
      </c>
      <c r="AF18" s="13">
        <v>5.9736100713214668E-4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17.724</v>
      </c>
      <c r="AT18" s="13">
        <v>0.5400121123017505</v>
      </c>
      <c r="AU18" s="14">
        <v>240.84540208658072</v>
      </c>
      <c r="AV18" s="13">
        <v>0.30708593359991398</v>
      </c>
      <c r="AW18" s="14">
        <v>111.47219389676877</v>
      </c>
      <c r="AX18" s="13">
        <v>8.4558889408364535E-2</v>
      </c>
      <c r="AY18" s="14">
        <v>3.1286789081094879</v>
      </c>
      <c r="AZ18" s="13">
        <v>0.13771153643726874</v>
      </c>
      <c r="BA18" s="14">
        <v>20.519018929153042</v>
      </c>
      <c r="BB18" s="13">
        <v>0.43016129032258066</v>
      </c>
      <c r="BC18" s="14">
        <v>26.67</v>
      </c>
      <c r="BD18" s="13">
        <v>3.4380964595657648E-2</v>
      </c>
      <c r="BE18" s="14">
        <v>11.827051820906231</v>
      </c>
      <c r="BF18" s="13">
        <v>0.110309089785534</v>
      </c>
      <c r="BG18" s="14">
        <v>43.351472285714863</v>
      </c>
      <c r="BH18" s="13">
        <v>5.0051732746392297E-4</v>
      </c>
      <c r="BI18" s="14">
        <v>0.17367951262998127</v>
      </c>
      <c r="BJ18" s="13">
        <v>0.39018674576828172</v>
      </c>
      <c r="BK18" s="14">
        <v>3838.2670181225872</v>
      </c>
    </row>
    <row r="19" spans="1:63" s="15" customFormat="1" ht="63" customHeight="1" x14ac:dyDescent="0.35">
      <c r="A19" s="1" t="s">
        <v>24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3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35">
      <c r="A21" s="2" t="s">
        <v>18</v>
      </c>
      <c r="B21" s="65">
        <v>83</v>
      </c>
      <c r="C21" s="65"/>
      <c r="D21" s="65">
        <v>2</v>
      </c>
      <c r="E21" s="65"/>
      <c r="F21" s="65">
        <v>32</v>
      </c>
      <c r="G21" s="65"/>
      <c r="H21" s="65">
        <v>163</v>
      </c>
      <c r="I21" s="65"/>
      <c r="J21" s="65">
        <v>155</v>
      </c>
      <c r="K21" s="65"/>
      <c r="L21" s="65">
        <v>981</v>
      </c>
      <c r="M21" s="65"/>
      <c r="N21" s="65">
        <v>37</v>
      </c>
      <c r="O21" s="65"/>
      <c r="P21" s="65">
        <v>97</v>
      </c>
      <c r="Q21" s="65"/>
      <c r="R21" s="65">
        <v>270</v>
      </c>
      <c r="S21" s="65"/>
      <c r="T21" s="65">
        <v>29</v>
      </c>
      <c r="U21" s="65"/>
      <c r="V21" s="65">
        <v>30</v>
      </c>
      <c r="W21" s="65"/>
      <c r="X21" s="65">
        <v>1177</v>
      </c>
      <c r="Y21" s="65"/>
      <c r="Z21" s="65">
        <v>11</v>
      </c>
      <c r="AA21" s="65"/>
      <c r="AB21" s="65">
        <v>384</v>
      </c>
      <c r="AC21" s="65"/>
      <c r="AD21" s="65">
        <v>1</v>
      </c>
      <c r="AE21" s="65"/>
      <c r="AF21" s="65">
        <v>2786</v>
      </c>
      <c r="AG21" s="65"/>
      <c r="AH21" s="65">
        <v>80</v>
      </c>
      <c r="AI21" s="65"/>
      <c r="AJ21" s="65">
        <v>6</v>
      </c>
      <c r="AK21" s="65"/>
      <c r="AL21" s="65">
        <v>149</v>
      </c>
      <c r="AM21" s="65"/>
      <c r="AN21" s="65">
        <v>483</v>
      </c>
      <c r="AO21" s="65"/>
      <c r="AP21" s="65">
        <v>353</v>
      </c>
      <c r="AQ21" s="65"/>
      <c r="AR21" s="65" t="s">
        <v>6</v>
      </c>
      <c r="AS21" s="65"/>
      <c r="AT21" s="65">
        <v>182</v>
      </c>
      <c r="AU21" s="65"/>
      <c r="AV21" s="65">
        <v>204</v>
      </c>
      <c r="AW21" s="65"/>
      <c r="AX21" s="65">
        <v>78</v>
      </c>
      <c r="AY21" s="65"/>
      <c r="AZ21" s="65">
        <v>139</v>
      </c>
      <c r="BA21" s="65"/>
      <c r="BB21" s="65">
        <v>57</v>
      </c>
      <c r="BC21" s="65"/>
      <c r="BD21" s="65">
        <v>295</v>
      </c>
      <c r="BE21" s="65"/>
      <c r="BF21" s="65">
        <v>231</v>
      </c>
      <c r="BG21" s="65"/>
      <c r="BH21" s="65">
        <v>464</v>
      </c>
      <c r="BI21" s="65"/>
      <c r="BJ21" s="65">
        <v>9251</v>
      </c>
      <c r="BK21" s="65"/>
    </row>
    <row r="22" spans="1:63" ht="29" x14ac:dyDescent="0.3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35">
      <c r="A23" s="6" t="s">
        <v>9</v>
      </c>
      <c r="B23" s="7">
        <v>0.16523523593784248</v>
      </c>
      <c r="C23" s="8">
        <v>13.714524582840927</v>
      </c>
      <c r="D23" s="7">
        <v>0.24868538973462173</v>
      </c>
      <c r="E23" s="8">
        <v>0.49737077946924346</v>
      </c>
      <c r="F23" s="7">
        <v>0.37172721440240292</v>
      </c>
      <c r="G23" s="8">
        <v>11.895270860876893</v>
      </c>
      <c r="H23" s="7">
        <v>0.33163021792916936</v>
      </c>
      <c r="I23" s="8">
        <v>54.055725522454608</v>
      </c>
      <c r="J23" s="7">
        <v>3.6240075530461338E-2</v>
      </c>
      <c r="K23" s="8">
        <v>5.6172117072215073</v>
      </c>
      <c r="L23" s="7">
        <v>6.2853764177756469E-2</v>
      </c>
      <c r="M23" s="8">
        <v>61.659542658379102</v>
      </c>
      <c r="N23" s="7"/>
      <c r="O23" s="8"/>
      <c r="P23" s="7">
        <v>0.13636945999344741</v>
      </c>
      <c r="Q23" s="8">
        <v>13.227837619364399</v>
      </c>
      <c r="R23" s="7">
        <v>0.22429754632864857</v>
      </c>
      <c r="S23" s="8">
        <v>60.560337508735117</v>
      </c>
      <c r="T23" s="7"/>
      <c r="U23" s="8"/>
      <c r="V23" s="7">
        <v>0.6277798532672676</v>
      </c>
      <c r="W23" s="8">
        <v>18.833395598018029</v>
      </c>
      <c r="X23" s="7">
        <v>0.72664684793188761</v>
      </c>
      <c r="Y23" s="8">
        <v>855.26334001583166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0.22424679053185723</v>
      </c>
      <c r="AM23" s="8">
        <v>33.412771789246726</v>
      </c>
      <c r="AN23" s="7"/>
      <c r="AO23" s="8"/>
      <c r="AP23" s="7">
        <v>4.2992642802865081E-3</v>
      </c>
      <c r="AQ23" s="8">
        <v>1.5176402909411375</v>
      </c>
      <c r="AR23" s="7"/>
      <c r="AS23" s="8"/>
      <c r="AT23" s="7">
        <v>0.44164591362601308</v>
      </c>
      <c r="AU23" s="8">
        <v>80.379556279934377</v>
      </c>
      <c r="AV23" s="7">
        <v>0.12021863362758609</v>
      </c>
      <c r="AW23" s="8">
        <v>24.524601260027563</v>
      </c>
      <c r="AX23" s="7"/>
      <c r="AY23" s="8"/>
      <c r="AZ23" s="7"/>
      <c r="BA23" s="8"/>
      <c r="BB23" s="7"/>
      <c r="BC23" s="8"/>
      <c r="BD23" s="7"/>
      <c r="BE23" s="8"/>
      <c r="BF23" s="7">
        <v>2.5958764795151766E-2</v>
      </c>
      <c r="BG23" s="8">
        <v>5.996474667680058</v>
      </c>
      <c r="BH23" s="7"/>
      <c r="BI23" s="8"/>
      <c r="BJ23" s="7">
        <v>0.13416447963906838</v>
      </c>
      <c r="BK23" s="8">
        <v>1241.1556011410216</v>
      </c>
    </row>
    <row r="24" spans="1:63" x14ac:dyDescent="0.35">
      <c r="A24" s="6" t="s">
        <v>10</v>
      </c>
      <c r="B24" s="7">
        <v>0.17382731536108897</v>
      </c>
      <c r="C24" s="8">
        <v>14.427667174970384</v>
      </c>
      <c r="D24" s="7"/>
      <c r="E24" s="8"/>
      <c r="F24" s="7">
        <v>0.19738417007616363</v>
      </c>
      <c r="G24" s="8">
        <v>6.3162934424372361</v>
      </c>
      <c r="H24" s="7">
        <v>0.15613541537591555</v>
      </c>
      <c r="I24" s="8">
        <v>25.450072706274234</v>
      </c>
      <c r="J24" s="7"/>
      <c r="K24" s="8"/>
      <c r="L24" s="7">
        <v>3.5989848376815792E-2</v>
      </c>
      <c r="M24" s="8">
        <v>35.30604125765629</v>
      </c>
      <c r="N24" s="7"/>
      <c r="O24" s="8"/>
      <c r="P24" s="7">
        <v>7.683760002456747E-3</v>
      </c>
      <c r="Q24" s="8">
        <v>0.74532472023830443</v>
      </c>
      <c r="R24" s="7"/>
      <c r="S24" s="8"/>
      <c r="T24" s="7"/>
      <c r="U24" s="8"/>
      <c r="V24" s="7">
        <v>0.10832737337061382</v>
      </c>
      <c r="W24" s="8">
        <v>3.2498212011184147</v>
      </c>
      <c r="X24" s="7"/>
      <c r="Y24" s="8"/>
      <c r="Z24" s="7"/>
      <c r="AA24" s="8"/>
      <c r="AB24" s="7"/>
      <c r="AC24" s="8"/>
      <c r="AD24" s="7"/>
      <c r="AE24" s="8"/>
      <c r="AF24" s="7">
        <v>7.7513396321944247E-2</v>
      </c>
      <c r="AG24" s="8">
        <v>215.95232215293669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3.2585400784307807E-2</v>
      </c>
      <c r="BK24" s="8">
        <v>301.44754265563154</v>
      </c>
    </row>
    <row r="25" spans="1:63" x14ac:dyDescent="0.3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7.4376670600629108E-2</v>
      </c>
      <c r="M25" s="10">
        <v>72.963513859217159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7.8870947853439798E-3</v>
      </c>
      <c r="BK25" s="10">
        <v>72.963513859217159</v>
      </c>
    </row>
    <row r="26" spans="1:63" x14ac:dyDescent="0.3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0.32174479576598669</v>
      </c>
      <c r="M26" s="10">
        <v>315.63164464643296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3.4118651458916113E-2</v>
      </c>
      <c r="BK26" s="10">
        <v>315.63164464643296</v>
      </c>
    </row>
    <row r="27" spans="1:63" x14ac:dyDescent="0.35">
      <c r="A27" s="6" t="s">
        <v>11</v>
      </c>
      <c r="B27" s="9"/>
      <c r="C27" s="10"/>
      <c r="D27" s="9"/>
      <c r="E27" s="10"/>
      <c r="F27" s="9"/>
      <c r="G27" s="10"/>
      <c r="H27" s="9">
        <v>0.13952547080380548</v>
      </c>
      <c r="I27" s="10">
        <v>22.742651741020293</v>
      </c>
      <c r="J27" s="9">
        <v>5.148902340124166E-2</v>
      </c>
      <c r="K27" s="10">
        <v>7.9807986271924571</v>
      </c>
      <c r="L27" s="9">
        <v>5.6066701167664455E-2</v>
      </c>
      <c r="M27" s="10">
        <v>55.001433845478829</v>
      </c>
      <c r="N27" s="9"/>
      <c r="O27" s="10"/>
      <c r="P27" s="9">
        <v>0.18513706923868234</v>
      </c>
      <c r="Q27" s="10">
        <v>17.958295716152186</v>
      </c>
      <c r="R27" s="9">
        <v>8.7700910287357228E-2</v>
      </c>
      <c r="S27" s="10">
        <v>23.679245777586452</v>
      </c>
      <c r="T27" s="9">
        <v>0.1811986308481762</v>
      </c>
      <c r="U27" s="10">
        <v>5.2547602945971095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7.4730956741007742E-2</v>
      </c>
      <c r="AG27" s="10">
        <v>208.20044548044757</v>
      </c>
      <c r="AH27" s="9"/>
      <c r="AI27" s="10"/>
      <c r="AJ27" s="9"/>
      <c r="AK27" s="10"/>
      <c r="AL27" s="9"/>
      <c r="AM27" s="10"/>
      <c r="AN27" s="9">
        <v>0.30089153633577664</v>
      </c>
      <c r="AO27" s="10">
        <v>145.33061205018012</v>
      </c>
      <c r="AP27" s="9">
        <v>6.0606211653522077E-2</v>
      </c>
      <c r="AQ27" s="10">
        <v>21.393992713693294</v>
      </c>
      <c r="AR27" s="9"/>
      <c r="AS27" s="10"/>
      <c r="AT27" s="9"/>
      <c r="AU27" s="10"/>
      <c r="AV27" s="9">
        <v>0.24013209135931252</v>
      </c>
      <c r="AW27" s="10">
        <v>48.986946637299752</v>
      </c>
      <c r="AX27" s="9">
        <v>7.009111291013187E-2</v>
      </c>
      <c r="AY27" s="10">
        <v>5.4671068069902855</v>
      </c>
      <c r="AZ27" s="9">
        <v>8.8429436864125618E-2</v>
      </c>
      <c r="BA27" s="10">
        <v>12.291691724113461</v>
      </c>
      <c r="BB27" s="9"/>
      <c r="BC27" s="10"/>
      <c r="BD27" s="9"/>
      <c r="BE27" s="10"/>
      <c r="BF27" s="9"/>
      <c r="BG27" s="10"/>
      <c r="BH27" s="9">
        <v>3.4917464270582635E-2</v>
      </c>
      <c r="BI27" s="10">
        <v>16.201703421550341</v>
      </c>
      <c r="BJ27" s="9">
        <v>6.3829822163690639E-2</v>
      </c>
      <c r="BK27" s="10">
        <v>590.4896848363021</v>
      </c>
    </row>
    <row r="28" spans="1:63" x14ac:dyDescent="0.3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4.9477838548293331E-2</v>
      </c>
      <c r="M28" s="10">
        <v>48.537759615875757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5.2467581467815112E-3</v>
      </c>
      <c r="BK28" s="10">
        <v>48.537759615875757</v>
      </c>
    </row>
    <row r="29" spans="1:63" x14ac:dyDescent="0.3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3.258597152895755E-2</v>
      </c>
      <c r="AG29" s="8">
        <v>90.784516679675733</v>
      </c>
      <c r="AH29" s="7"/>
      <c r="AI29" s="8"/>
      <c r="AJ29" s="7"/>
      <c r="AK29" s="8"/>
      <c r="AL29" s="7"/>
      <c r="AM29" s="8"/>
      <c r="AN29" s="7"/>
      <c r="AO29" s="8"/>
      <c r="AP29" s="7">
        <v>4.6116846277620312E-2</v>
      </c>
      <c r="AQ29" s="8">
        <v>16.279246735999969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1.1573209751991753E-2</v>
      </c>
      <c r="BK29" s="8">
        <v>107.06376341567571</v>
      </c>
    </row>
    <row r="30" spans="1:63" x14ac:dyDescent="0.3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5.9252298612627926E-3</v>
      </c>
      <c r="AG30" s="10">
        <v>16.507690393478139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3.4607862057618134E-3</v>
      </c>
      <c r="BK30" s="8">
        <v>32.015733189502534</v>
      </c>
    </row>
    <row r="31" spans="1:63" x14ac:dyDescent="0.35">
      <c r="A31" s="6" t="s">
        <v>12</v>
      </c>
      <c r="B31" s="9">
        <v>1.2800000000000001E-2</v>
      </c>
      <c r="C31" s="10">
        <v>1.0624</v>
      </c>
      <c r="D31" s="9">
        <v>0.8</v>
      </c>
      <c r="E31" s="10">
        <v>1.6</v>
      </c>
      <c r="F31" s="9">
        <v>0.63300000000000001</v>
      </c>
      <c r="G31" s="10">
        <v>20.256</v>
      </c>
      <c r="H31" s="9"/>
      <c r="I31" s="10"/>
      <c r="J31" s="9">
        <v>0.37699077080486743</v>
      </c>
      <c r="K31" s="10">
        <v>58.433569474754449</v>
      </c>
      <c r="L31" s="9"/>
      <c r="M31" s="10"/>
      <c r="N31" s="9">
        <v>0.92500000000000004</v>
      </c>
      <c r="O31" s="10">
        <v>34.225000000000001</v>
      </c>
      <c r="P31" s="9">
        <v>7.2374813016845341E-2</v>
      </c>
      <c r="Q31" s="10">
        <v>7.0203568626339976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</v>
      </c>
      <c r="AF31" s="9"/>
      <c r="AG31" s="10"/>
      <c r="AH31" s="9">
        <v>0.68799999999999994</v>
      </c>
      <c r="AI31" s="10">
        <v>55.039999999999992</v>
      </c>
      <c r="AJ31" s="9">
        <v>0.75</v>
      </c>
      <c r="AK31" s="10">
        <v>4.5</v>
      </c>
      <c r="AL31" s="9">
        <v>0.997</v>
      </c>
      <c r="AM31" s="10">
        <v>148.553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0.4001754385964913</v>
      </c>
      <c r="BC31" s="10">
        <v>22.810000000000002</v>
      </c>
      <c r="BD31" s="9">
        <v>3.3498519012056832E-2</v>
      </c>
      <c r="BE31" s="10">
        <v>9.2790897663397427</v>
      </c>
      <c r="BF31" s="9"/>
      <c r="BG31" s="10"/>
      <c r="BH31" s="9"/>
      <c r="BI31" s="10"/>
      <c r="BJ31" s="9">
        <v>3.9323267557261385E-2</v>
      </c>
      <c r="BK31" s="10">
        <v>363.77954817222508</v>
      </c>
    </row>
    <row r="32" spans="1:63" x14ac:dyDescent="0.35">
      <c r="A32" s="6" t="s">
        <v>13</v>
      </c>
      <c r="B32" s="7">
        <v>1.4523821371411616E-3</v>
      </c>
      <c r="C32" s="8">
        <v>0.12054771738271641</v>
      </c>
      <c r="D32" s="7"/>
      <c r="E32" s="8"/>
      <c r="F32" s="7"/>
      <c r="G32" s="8"/>
      <c r="H32" s="7">
        <v>6.4198066708303029E-3</v>
      </c>
      <c r="I32" s="8">
        <v>1.0464284873453393</v>
      </c>
      <c r="J32" s="7">
        <v>9.274510098238424E-3</v>
      </c>
      <c r="K32" s="8">
        <v>1.4375490652269558</v>
      </c>
      <c r="L32" s="7">
        <v>1.9779982180437892E-2</v>
      </c>
      <c r="M32" s="8">
        <v>19.404162519009571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6.3444337608023454E-2</v>
      </c>
      <c r="Y32" s="8">
        <v>74.673985364643613</v>
      </c>
      <c r="Z32" s="7"/>
      <c r="AA32" s="8"/>
      <c r="AB32" s="7"/>
      <c r="AC32" s="8"/>
      <c r="AD32" s="7"/>
      <c r="AE32" s="8"/>
      <c r="AF32" s="7">
        <v>1.546323194246871E-2</v>
      </c>
      <c r="AG32" s="8">
        <v>43.080564191717826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1.7992702930657675E-2</v>
      </c>
      <c r="AU32" s="8">
        <v>3.2746719333796968</v>
      </c>
      <c r="AV32" s="7"/>
      <c r="AW32" s="8"/>
      <c r="AX32" s="7">
        <v>8.4601628617189048E-3</v>
      </c>
      <c r="AY32" s="8">
        <v>1.2605642663961167</v>
      </c>
      <c r="AZ32" s="7"/>
      <c r="BA32" s="8"/>
      <c r="BB32" s="7"/>
      <c r="BC32" s="8"/>
      <c r="BD32" s="7"/>
      <c r="BE32" s="8"/>
      <c r="BF32" s="7">
        <v>9.7183539810855479E-2</v>
      </c>
      <c r="BG32" s="8">
        <v>22.449397696307617</v>
      </c>
      <c r="BH32" s="7">
        <v>5.0051732746392297E-4</v>
      </c>
      <c r="BI32" s="8">
        <v>0.23224003994326026</v>
      </c>
      <c r="BJ32" s="7">
        <v>2.3921919648128811E-2</v>
      </c>
      <c r="BK32" s="8">
        <v>221.30167866483961</v>
      </c>
    </row>
    <row r="33" spans="1:63" x14ac:dyDescent="0.3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0.81001453364759168</v>
      </c>
      <c r="AC33" s="8">
        <v>311.04558092067521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3.3622914379059045E-2</v>
      </c>
      <c r="BK33" s="8">
        <v>311.04558092067521</v>
      </c>
    </row>
    <row r="34" spans="1:63" s="18" customFormat="1" x14ac:dyDescent="0.35">
      <c r="A34" s="16" t="s">
        <v>15</v>
      </c>
      <c r="B34" s="11"/>
      <c r="C34" s="17"/>
      <c r="D34" s="11">
        <v>2E-3</v>
      </c>
      <c r="E34" s="17">
        <f>D34*D21</f>
        <v>4.0000000000000001E-3</v>
      </c>
      <c r="F34" s="11"/>
      <c r="G34" s="17"/>
      <c r="H34" s="11">
        <v>1.0999999999999999E-2</v>
      </c>
      <c r="I34" s="17">
        <f>H34*H21</f>
        <v>1.7929999999999999</v>
      </c>
      <c r="J34" s="11">
        <v>3.0000000000000001E-3</v>
      </c>
      <c r="K34" s="17">
        <f>J34*J21</f>
        <v>0.46500000000000002</v>
      </c>
      <c r="L34" s="11"/>
      <c r="M34" s="12"/>
      <c r="N34" s="11"/>
      <c r="O34" s="12"/>
      <c r="P34" s="11">
        <v>1E-3</v>
      </c>
      <c r="Q34" s="17">
        <f>P34*P21</f>
        <v>9.7000000000000003E-2</v>
      </c>
      <c r="R34" s="11"/>
      <c r="S34" s="17"/>
      <c r="T34" s="11"/>
      <c r="U34" s="12"/>
      <c r="V34" s="11">
        <v>1.6E-2</v>
      </c>
      <c r="W34" s="17">
        <f>V34*V21</f>
        <v>0.48</v>
      </c>
      <c r="X34" s="11">
        <v>4.2999999999999997E-2</v>
      </c>
      <c r="Y34" s="17">
        <f>X34*X21</f>
        <v>50.610999999999997</v>
      </c>
      <c r="Z34" s="11">
        <v>0.82499999999999996</v>
      </c>
      <c r="AA34" s="17">
        <f>Z34*Z21</f>
        <v>9.0749999999999993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1.0429999999999999</v>
      </c>
      <c r="AN34" s="11"/>
      <c r="AO34" s="12"/>
      <c r="AP34" s="11">
        <v>5.0000000000000001E-3</v>
      </c>
      <c r="AQ34" s="17">
        <f>AP34*AP21</f>
        <v>1.7650000000000001</v>
      </c>
      <c r="AR34" s="11"/>
      <c r="AS34" s="12"/>
      <c r="AT34" s="11">
        <v>1.9E-2</v>
      </c>
      <c r="AU34" s="17">
        <f>AT34*AT21</f>
        <v>3.4579999999999997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1.155</v>
      </c>
      <c r="BH34" s="11"/>
      <c r="BI34" s="12"/>
      <c r="BJ34" s="11">
        <v>2.6040343925283187E-2</v>
      </c>
      <c r="BK34" s="12">
        <v>240.89922165279478</v>
      </c>
    </row>
    <row r="35" spans="1:63" x14ac:dyDescent="0.3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6.3231850117095922E-2</v>
      </c>
      <c r="Y35" s="8">
        <v>74.423887587821895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8.0449559602012635E-3</v>
      </c>
      <c r="BK35" s="8">
        <v>74.423887587821895</v>
      </c>
    </row>
    <row r="36" spans="1:63" x14ac:dyDescent="0.3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4.7220963865575269E-2</v>
      </c>
      <c r="AG36" s="8">
        <v>131.5576053294927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1.4220906424115522E-2</v>
      </c>
      <c r="BK36" s="8">
        <v>131.5576053294927</v>
      </c>
    </row>
    <row r="37" spans="1:63" ht="58" x14ac:dyDescent="0.3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0.27764662993193157</v>
      </c>
      <c r="BK37" s="8">
        <v>2568.5089735002989</v>
      </c>
    </row>
    <row r="38" spans="1:63" ht="43.5" x14ac:dyDescent="0.3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0.13668819165233281</v>
      </c>
      <c r="BK38" s="8">
        <v>1264.5024609757309</v>
      </c>
    </row>
    <row r="39" spans="1:63" x14ac:dyDescent="0.35">
      <c r="A39" s="6" t="s">
        <v>204</v>
      </c>
      <c r="B39" s="13">
        <v>0.32015662838960879</v>
      </c>
      <c r="C39" s="14">
        <v>26.573000156337528</v>
      </c>
      <c r="D39" s="13">
        <v>0.85003760379103055</v>
      </c>
      <c r="E39" s="14">
        <v>1.7000752075820611</v>
      </c>
      <c r="F39" s="13">
        <v>0.81493596225423182</v>
      </c>
      <c r="G39" s="14">
        <v>26.077950792135418</v>
      </c>
      <c r="H39" s="13">
        <v>0.52310056958779394</v>
      </c>
      <c r="I39" s="14">
        <v>85.265392842810414</v>
      </c>
      <c r="J39" s="13">
        <v>0.43745897534301625</v>
      </c>
      <c r="K39" s="14">
        <v>67.806141178167522</v>
      </c>
      <c r="L39" s="13">
        <v>0.50118038789854435</v>
      </c>
      <c r="M39" s="14">
        <v>491.65796052847202</v>
      </c>
      <c r="N39" s="13">
        <v>0.92500000000000004</v>
      </c>
      <c r="O39" s="14">
        <v>34.225000000000001</v>
      </c>
      <c r="P39" s="13">
        <v>0.35285638210056736</v>
      </c>
      <c r="Q39" s="14">
        <v>34.227069063755032</v>
      </c>
      <c r="R39" s="13">
        <v>0.29232735762776263</v>
      </c>
      <c r="S39" s="14">
        <v>78.928386559495905</v>
      </c>
      <c r="T39" s="13">
        <v>0.18119863084817622</v>
      </c>
      <c r="U39" s="14">
        <v>5.2547602945971104</v>
      </c>
      <c r="V39" s="13">
        <v>0.67341186033319378</v>
      </c>
      <c r="W39" s="14">
        <v>20.202355809995815</v>
      </c>
      <c r="X39" s="13">
        <v>0.77048993594492177</v>
      </c>
      <c r="Y39" s="14">
        <v>906.8666546071729</v>
      </c>
      <c r="Z39" s="13">
        <v>0.82499999999999996</v>
      </c>
      <c r="AA39" s="14">
        <v>9.0749999999999993</v>
      </c>
      <c r="AB39" s="13">
        <v>0.81001453364759168</v>
      </c>
      <c r="AC39" s="14">
        <v>311.04558092067521</v>
      </c>
      <c r="AD39" s="13">
        <v>1</v>
      </c>
      <c r="AE39" s="14">
        <v>1</v>
      </c>
      <c r="AF39" s="13">
        <v>0.23001251731171024</v>
      </c>
      <c r="AG39" s="14">
        <v>640.81487323042472</v>
      </c>
      <c r="AH39" s="13">
        <v>0.68799999999999994</v>
      </c>
      <c r="AI39" s="14">
        <v>55.039999999999992</v>
      </c>
      <c r="AJ39" s="13">
        <v>0.75</v>
      </c>
      <c r="AK39" s="14">
        <v>4.5</v>
      </c>
      <c r="AL39" s="13">
        <v>0.99768903118899444</v>
      </c>
      <c r="AM39" s="14">
        <v>148.65566564716016</v>
      </c>
      <c r="AN39" s="13">
        <v>0.3008915363357767</v>
      </c>
      <c r="AO39" s="14">
        <v>145.33061205018015</v>
      </c>
      <c r="AP39" s="13">
        <v>0.11224163783487673</v>
      </c>
      <c r="AQ39" s="14">
        <v>39.621298155711486</v>
      </c>
      <c r="AR39" s="13">
        <v>0</v>
      </c>
      <c r="AS39" s="14" t="s">
        <v>68</v>
      </c>
      <c r="AT39" s="13">
        <v>0.46211006078844608</v>
      </c>
      <c r="AU39" s="14">
        <v>84.104031063497189</v>
      </c>
      <c r="AV39" s="13">
        <v>0.33148237307354744</v>
      </c>
      <c r="AW39" s="14">
        <v>67.622404107003675</v>
      </c>
      <c r="AX39" s="13">
        <v>7.7958293541471879E-2</v>
      </c>
      <c r="AY39" s="14">
        <v>6.0807468962348068</v>
      </c>
      <c r="AZ39" s="13">
        <v>8.8429436864125632E-2</v>
      </c>
      <c r="BA39" s="14">
        <v>12.291691724113463</v>
      </c>
      <c r="BB39" s="13">
        <v>0.4001754385964913</v>
      </c>
      <c r="BC39" s="14">
        <v>22.810000000000002</v>
      </c>
      <c r="BD39" s="13">
        <v>3.3498519012056804E-2</v>
      </c>
      <c r="BE39" s="14">
        <v>9.882063108556757</v>
      </c>
      <c r="BF39" s="13">
        <v>0.12501644225432651</v>
      </c>
      <c r="BG39" s="14">
        <v>28.878798160749422</v>
      </c>
      <c r="BH39" s="13">
        <v>3.5400504802148069E-2</v>
      </c>
      <c r="BI39" s="14">
        <v>16.425834228196706</v>
      </c>
      <c r="BJ39" s="13">
        <v>0.36457690218797212</v>
      </c>
      <c r="BK39" s="14">
        <v>3372.7009221409303</v>
      </c>
    </row>
    <row r="40" spans="1:63" s="15" customFormat="1" ht="63" customHeight="1" x14ac:dyDescent="0.35">
      <c r="A40" s="1" t="s">
        <v>24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3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35">
      <c r="A42" s="2" t="s">
        <v>18</v>
      </c>
      <c r="B42" s="65">
        <v>166</v>
      </c>
      <c r="C42" s="65"/>
      <c r="D42" s="65">
        <v>17</v>
      </c>
      <c r="E42" s="65"/>
      <c r="F42" s="65">
        <v>156</v>
      </c>
      <c r="G42" s="65"/>
      <c r="H42" s="65">
        <v>480</v>
      </c>
      <c r="I42" s="65"/>
      <c r="J42" s="65">
        <v>422</v>
      </c>
      <c r="K42" s="65"/>
      <c r="L42" s="65">
        <v>2259</v>
      </c>
      <c r="M42" s="65"/>
      <c r="N42" s="65">
        <v>63</v>
      </c>
      <c r="O42" s="65"/>
      <c r="P42" s="65">
        <v>320</v>
      </c>
      <c r="Q42" s="65"/>
      <c r="R42" s="65">
        <v>508</v>
      </c>
      <c r="S42" s="65"/>
      <c r="T42" s="65">
        <v>42</v>
      </c>
      <c r="U42" s="65"/>
      <c r="V42" s="65">
        <v>156</v>
      </c>
      <c r="W42" s="65"/>
      <c r="X42" s="65">
        <v>2467</v>
      </c>
      <c r="Y42" s="65"/>
      <c r="Z42" s="65">
        <v>124</v>
      </c>
      <c r="AA42" s="65"/>
      <c r="AB42" s="65"/>
      <c r="AC42" s="65"/>
      <c r="AD42" s="65">
        <v>3</v>
      </c>
      <c r="AE42" s="65"/>
      <c r="AF42" s="65">
        <v>2802</v>
      </c>
      <c r="AG42" s="65"/>
      <c r="AH42" s="65">
        <v>80</v>
      </c>
      <c r="AI42" s="65"/>
      <c r="AJ42" s="65">
        <v>6</v>
      </c>
      <c r="AK42" s="65"/>
      <c r="AL42" s="65">
        <v>149</v>
      </c>
      <c r="AM42" s="65"/>
      <c r="AN42" s="65">
        <v>483</v>
      </c>
      <c r="AO42" s="65"/>
      <c r="AP42" s="65">
        <v>353</v>
      </c>
      <c r="AQ42" s="65"/>
      <c r="AR42" s="65">
        <v>28</v>
      </c>
      <c r="AS42" s="65"/>
      <c r="AT42" s="65">
        <v>628</v>
      </c>
      <c r="AU42" s="65"/>
      <c r="AV42" s="65">
        <v>567</v>
      </c>
      <c r="AW42" s="65"/>
      <c r="AX42" s="65">
        <v>115</v>
      </c>
      <c r="AY42" s="65"/>
      <c r="AZ42" s="65">
        <v>288</v>
      </c>
      <c r="BA42" s="65"/>
      <c r="BB42" s="65">
        <v>119</v>
      </c>
      <c r="BC42" s="65"/>
      <c r="BD42" s="65">
        <v>639</v>
      </c>
      <c r="BE42" s="65"/>
      <c r="BF42" s="65">
        <v>624</v>
      </c>
      <c r="BG42" s="65"/>
      <c r="BH42" s="65">
        <v>811</v>
      </c>
      <c r="BI42" s="65"/>
      <c r="BJ42" s="65">
        <v>19088</v>
      </c>
      <c r="BK42" s="65"/>
    </row>
    <row r="43" spans="1:63" ht="29" x14ac:dyDescent="0.3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35">
      <c r="A44" s="6" t="s">
        <v>9</v>
      </c>
      <c r="B44" s="7">
        <v>0.17322201694511238</v>
      </c>
      <c r="C44" s="8">
        <v>28.754854812888656</v>
      </c>
      <c r="D44" s="7">
        <v>0.28502892014844694</v>
      </c>
      <c r="E44" s="8">
        <v>4.8454916425235979</v>
      </c>
      <c r="F44" s="7">
        <v>0.3960378089005594</v>
      </c>
      <c r="G44" s="8">
        <v>61.781898188487268</v>
      </c>
      <c r="H44" s="7">
        <v>0.34318825294944688</v>
      </c>
      <c r="I44" s="8">
        <v>164.73036141573451</v>
      </c>
      <c r="J44" s="7">
        <v>0.15853441259156167</v>
      </c>
      <c r="K44" s="8">
        <v>66.901522113639032</v>
      </c>
      <c r="L44" s="7">
        <v>7.5038562440492632E-2</v>
      </c>
      <c r="M44" s="8">
        <v>169.51211255307285</v>
      </c>
      <c r="N44" s="7"/>
      <c r="O44" s="8"/>
      <c r="P44" s="7">
        <v>0.2223060897941489</v>
      </c>
      <c r="Q44" s="8">
        <v>71.137948734127647</v>
      </c>
      <c r="R44" s="7">
        <v>0.24317879099483292</v>
      </c>
      <c r="S44" s="8">
        <v>123.53482582537512</v>
      </c>
      <c r="T44" s="7"/>
      <c r="U44" s="8"/>
      <c r="V44" s="7">
        <v>0.67027923035144132</v>
      </c>
      <c r="W44" s="8">
        <v>104.56355993482485</v>
      </c>
      <c r="X44" s="7">
        <v>0.74830687489767034</v>
      </c>
      <c r="Y44" s="8">
        <v>1846.0730603725528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0.22424679053185723</v>
      </c>
      <c r="AM44" s="8">
        <v>33.412771789246726</v>
      </c>
      <c r="AN44" s="7"/>
      <c r="AO44" s="8"/>
      <c r="AP44" s="7">
        <v>4.2992642802865081E-3</v>
      </c>
      <c r="AQ44" s="8">
        <v>1.5176402909411375</v>
      </c>
      <c r="AR44" s="7"/>
      <c r="AS44" s="8"/>
      <c r="AT44" s="7">
        <v>0.47899753754444491</v>
      </c>
      <c r="AU44" s="8">
        <v>300.8104535779114</v>
      </c>
      <c r="AV44" s="7">
        <v>0.1398156139725856</v>
      </c>
      <c r="AW44" s="8">
        <v>79.275453122456042</v>
      </c>
      <c r="AX44" s="7"/>
      <c r="AY44" s="8"/>
      <c r="AZ44" s="7"/>
      <c r="BA44" s="8"/>
      <c r="BB44" s="7"/>
      <c r="BC44" s="8"/>
      <c r="BD44" s="7"/>
      <c r="BE44" s="8"/>
      <c r="BF44" s="7">
        <v>2.6214568638836821E-2</v>
      </c>
      <c r="BG44" s="8">
        <v>16.357890830634176</v>
      </c>
      <c r="BH44" s="7"/>
      <c r="BI44" s="8"/>
      <c r="BJ44" s="7">
        <v>0.16100219222571335</v>
      </c>
      <c r="BK44" s="8">
        <v>3073.2098452044165</v>
      </c>
    </row>
    <row r="45" spans="1:63" x14ac:dyDescent="0.35">
      <c r="A45" s="6" t="s">
        <v>10</v>
      </c>
      <c r="B45" s="7">
        <v>0.34203812898817759</v>
      </c>
      <c r="C45" s="8">
        <v>88.587875407938</v>
      </c>
      <c r="D45" s="7"/>
      <c r="E45" s="8"/>
      <c r="F45" s="7">
        <v>0.37719801228611871</v>
      </c>
      <c r="G45" s="8">
        <v>58.842889916634519</v>
      </c>
      <c r="H45" s="7">
        <v>0.12183399436616486</v>
      </c>
      <c r="I45" s="8">
        <v>58.480317295759136</v>
      </c>
      <c r="J45" s="7"/>
      <c r="K45" s="8"/>
      <c r="L45" s="7">
        <v>6.3320187785708013E-2</v>
      </c>
      <c r="M45" s="8">
        <v>143.0403042079144</v>
      </c>
      <c r="N45" s="7"/>
      <c r="O45" s="8"/>
      <c r="P45" s="7">
        <v>6.5588709192145378E-2</v>
      </c>
      <c r="Q45" s="8">
        <v>20.988386941486521</v>
      </c>
      <c r="R45" s="7"/>
      <c r="S45" s="8"/>
      <c r="T45" s="7"/>
      <c r="U45" s="8"/>
      <c r="V45" s="7">
        <v>0.22200268266351897</v>
      </c>
      <c r="W45" s="8">
        <v>34.632418495508958</v>
      </c>
      <c r="X45" s="7"/>
      <c r="Y45" s="8"/>
      <c r="Z45" s="7"/>
      <c r="AA45" s="8"/>
      <c r="AB45" s="7"/>
      <c r="AC45" s="8"/>
      <c r="AD45" s="7"/>
      <c r="AE45" s="8"/>
      <c r="AF45" s="7">
        <v>7.7070778784060198E-2</v>
      </c>
      <c r="AG45" s="8">
        <v>215.95232215293669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3.250861873523566E-2</v>
      </c>
      <c r="BK45" s="8">
        <v>620.52451441817834</v>
      </c>
    </row>
    <row r="46" spans="1:63" x14ac:dyDescent="0.3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0.12239294365056019</v>
      </c>
      <c r="M46" s="10">
        <v>276.48565970661548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1.4484789381109361E-2</v>
      </c>
      <c r="BK46" s="10">
        <v>276.48565970661548</v>
      </c>
    </row>
    <row r="47" spans="1:63" x14ac:dyDescent="0.3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0.28239816717550942</v>
      </c>
      <c r="M47" s="10">
        <v>637.93745964947573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3.3420864399071444E-2</v>
      </c>
      <c r="BK47" s="10">
        <v>637.93745964947573</v>
      </c>
    </row>
    <row r="48" spans="1:63" x14ac:dyDescent="0.35">
      <c r="A48" s="6" t="s">
        <v>11</v>
      </c>
      <c r="B48" s="9"/>
      <c r="C48" s="10"/>
      <c r="D48" s="9"/>
      <c r="E48" s="10"/>
      <c r="F48" s="9"/>
      <c r="G48" s="10"/>
      <c r="H48" s="9">
        <v>0.22962095166557642</v>
      </c>
      <c r="I48" s="10">
        <v>110.21805679947668</v>
      </c>
      <c r="J48" s="9">
        <v>7.993512771807719E-2</v>
      </c>
      <c r="K48" s="10">
        <v>33.732623897028574</v>
      </c>
      <c r="L48" s="9">
        <v>9.9781067343431895E-2</v>
      </c>
      <c r="M48" s="10">
        <v>225.40543112881264</v>
      </c>
      <c r="N48" s="9"/>
      <c r="O48" s="10"/>
      <c r="P48" s="9">
        <v>0.19778319063111144</v>
      </c>
      <c r="Q48" s="10">
        <v>63.290621001955664</v>
      </c>
      <c r="R48" s="9">
        <v>0.1041703244397995</v>
      </c>
      <c r="S48" s="10">
        <v>52.918524815418145</v>
      </c>
      <c r="T48" s="9">
        <v>0.15495555293410945</v>
      </c>
      <c r="U48" s="10">
        <v>6.5081332232325968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7.4730956741007742E-2</v>
      </c>
      <c r="AG48" s="10">
        <v>208.20044548044757</v>
      </c>
      <c r="AH48" s="9"/>
      <c r="AI48" s="10"/>
      <c r="AJ48" s="9"/>
      <c r="AK48" s="10"/>
      <c r="AL48" s="9"/>
      <c r="AM48" s="10"/>
      <c r="AN48" s="9">
        <v>0.30089153633577664</v>
      </c>
      <c r="AO48" s="10">
        <v>145.33061205018012</v>
      </c>
      <c r="AP48" s="9">
        <v>6.0606211653522077E-2</v>
      </c>
      <c r="AQ48" s="10">
        <v>21.393992713693294</v>
      </c>
      <c r="AR48" s="9"/>
      <c r="AS48" s="10"/>
      <c r="AT48" s="9"/>
      <c r="AU48" s="10"/>
      <c r="AV48" s="9">
        <v>0.20420293979364285</v>
      </c>
      <c r="AW48" s="10">
        <v>115.7830668629955</v>
      </c>
      <c r="AX48" s="9">
        <v>7.3426411164969785E-2</v>
      </c>
      <c r="AY48" s="10">
        <v>8.4440372839715252</v>
      </c>
      <c r="AZ48" s="9">
        <v>0.11392607865717536</v>
      </c>
      <c r="BA48" s="10">
        <v>32.810710653266504</v>
      </c>
      <c r="BB48" s="9"/>
      <c r="BC48" s="10"/>
      <c r="BD48" s="9"/>
      <c r="BE48" s="10"/>
      <c r="BF48" s="9"/>
      <c r="BG48" s="10"/>
      <c r="BH48" s="9">
        <v>1.997743948403248E-2</v>
      </c>
      <c r="BI48" s="10">
        <v>16.201703421550341</v>
      </c>
      <c r="BJ48" s="9">
        <v>5.4496959311191799E-2</v>
      </c>
      <c r="BK48" s="10">
        <v>1040.237959332029</v>
      </c>
    </row>
    <row r="49" spans="1:63" x14ac:dyDescent="0.3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4.4232900399394183E-2</v>
      </c>
      <c r="M49" s="10">
        <v>99.922122002231461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5.2348136002845483E-3</v>
      </c>
      <c r="BK49" s="10">
        <v>99.922122002231461</v>
      </c>
    </row>
    <row r="50" spans="1:63" x14ac:dyDescent="0.3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3.2399898886393906E-2</v>
      </c>
      <c r="AG50" s="8">
        <v>90.784516679675733</v>
      </c>
      <c r="AH50" s="7"/>
      <c r="AI50" s="8"/>
      <c r="AJ50" s="7"/>
      <c r="AK50" s="8"/>
      <c r="AL50" s="7"/>
      <c r="AM50" s="8"/>
      <c r="AN50" s="7"/>
      <c r="AO50" s="8"/>
      <c r="AP50" s="7">
        <v>4.6116846277620312E-2</v>
      </c>
      <c r="AQ50" s="8">
        <v>16.279246735999969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5.6089565913493141E-3</v>
      </c>
      <c r="BK50" s="8">
        <v>107.06376341567571</v>
      </c>
    </row>
    <row r="51" spans="1:63" x14ac:dyDescent="0.3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5.8913955722620058E-3</v>
      </c>
      <c r="AG51" s="10">
        <v>16.507690393478139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1.6772701796679869E-3</v>
      </c>
      <c r="BK51" s="8">
        <v>32.015733189502534</v>
      </c>
    </row>
    <row r="52" spans="1:63" x14ac:dyDescent="0.35">
      <c r="A52" s="6" t="s">
        <v>12</v>
      </c>
      <c r="B52" s="9">
        <v>1.2799999999999999E-2</v>
      </c>
      <c r="C52" s="10">
        <v>3.3151999999999999</v>
      </c>
      <c r="D52" s="9">
        <v>0.79999999999999993</v>
      </c>
      <c r="E52" s="10">
        <v>13.6</v>
      </c>
      <c r="F52" s="9">
        <v>0.70533333333333326</v>
      </c>
      <c r="G52" s="10">
        <v>110.032</v>
      </c>
      <c r="H52" s="9"/>
      <c r="I52" s="10"/>
      <c r="J52" s="9">
        <v>0.31250584043919383</v>
      </c>
      <c r="K52" s="10">
        <v>131.8774646653398</v>
      </c>
      <c r="L52" s="9"/>
      <c r="M52" s="10"/>
      <c r="N52" s="9">
        <v>0.90931746031746041</v>
      </c>
      <c r="O52" s="10">
        <v>57.287000000000006</v>
      </c>
      <c r="P52" s="9">
        <v>8.8839548565131793E-2</v>
      </c>
      <c r="Q52" s="10">
        <v>28.428655540842172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3</v>
      </c>
      <c r="AF52" s="9"/>
      <c r="AG52" s="10"/>
      <c r="AH52" s="9">
        <v>0.68799999999999994</v>
      </c>
      <c r="AI52" s="10">
        <v>55.039999999999992</v>
      </c>
      <c r="AJ52" s="9">
        <v>0.75</v>
      </c>
      <c r="AK52" s="10">
        <v>4.5</v>
      </c>
      <c r="AL52" s="9">
        <v>0.997</v>
      </c>
      <c r="AM52" s="10">
        <v>148.553</v>
      </c>
      <c r="AN52" s="9"/>
      <c r="AO52" s="10"/>
      <c r="AP52" s="9"/>
      <c r="AQ52" s="10"/>
      <c r="AR52" s="9">
        <v>0.63300000000000001</v>
      </c>
      <c r="AS52" s="10">
        <v>17.724</v>
      </c>
      <c r="AT52" s="9"/>
      <c r="AU52" s="10"/>
      <c r="AV52" s="9"/>
      <c r="AW52" s="10"/>
      <c r="AX52" s="9"/>
      <c r="AY52" s="10"/>
      <c r="AZ52" s="9"/>
      <c r="BA52" s="10"/>
      <c r="BB52" s="9">
        <v>0.41579831932773115</v>
      </c>
      <c r="BC52" s="10">
        <v>49.480000000000004</v>
      </c>
      <c r="BD52" s="9">
        <v>3.3968759828950347E-2</v>
      </c>
      <c r="BE52" s="10">
        <v>20.143474578567556</v>
      </c>
      <c r="BF52" s="9"/>
      <c r="BG52" s="10"/>
      <c r="BH52" s="9"/>
      <c r="BI52" s="10"/>
      <c r="BJ52" s="9">
        <v>3.3685098532363573E-2</v>
      </c>
      <c r="BK52" s="10">
        <v>642.98116078575583</v>
      </c>
    </row>
    <row r="53" spans="1:63" x14ac:dyDescent="0.35">
      <c r="A53" s="6" t="s">
        <v>13</v>
      </c>
      <c r="B53" s="7">
        <v>1.4523821371411616E-3</v>
      </c>
      <c r="C53" s="8">
        <v>0.37616697351956085</v>
      </c>
      <c r="D53" s="7"/>
      <c r="E53" s="8"/>
      <c r="F53" s="7"/>
      <c r="G53" s="8"/>
      <c r="H53" s="7">
        <v>4.4385566708303034E-3</v>
      </c>
      <c r="I53" s="8">
        <v>2.1305072019985456</v>
      </c>
      <c r="J53" s="7">
        <v>6.1110029892336836E-3</v>
      </c>
      <c r="K53" s="8">
        <v>2.5788432614566146</v>
      </c>
      <c r="L53" s="7">
        <v>1.5270090451842907E-2</v>
      </c>
      <c r="M53" s="8">
        <v>34.495134330713128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6.1835850242736627E-2</v>
      </c>
      <c r="Y53" s="8">
        <v>152.54904254883127</v>
      </c>
      <c r="Z53" s="7"/>
      <c r="AA53" s="8"/>
      <c r="AB53" s="7"/>
      <c r="AC53" s="8"/>
      <c r="AD53" s="7"/>
      <c r="AE53" s="8"/>
      <c r="AF53" s="7">
        <v>1.5378344742266931E-2</v>
      </c>
      <c r="AG53" s="8">
        <v>43.090121967831941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2.0123276179065317E-2</v>
      </c>
      <c r="AU53" s="8">
        <v>12.637417440453019</v>
      </c>
      <c r="AV53" s="7"/>
      <c r="AW53" s="8"/>
      <c r="AX53" s="7">
        <v>7.6644639369877208E-3</v>
      </c>
      <c r="AY53" s="8">
        <v>1.4255902922797161</v>
      </c>
      <c r="AZ53" s="7"/>
      <c r="BA53" s="8"/>
      <c r="BB53" s="7"/>
      <c r="BC53" s="8"/>
      <c r="BD53" s="7"/>
      <c r="BE53" s="8"/>
      <c r="BF53" s="7">
        <v>8.5050296109880255E-2</v>
      </c>
      <c r="BG53" s="8">
        <v>53.071384772565281</v>
      </c>
      <c r="BH53" s="7">
        <v>5.0051732746392297E-4</v>
      </c>
      <c r="BI53" s="8">
        <v>0.40591955257324153</v>
      </c>
      <c r="BJ53" s="7">
        <v>2.1862355785109141E-2</v>
      </c>
      <c r="BK53" s="8">
        <v>417.30864722616326</v>
      </c>
    </row>
    <row r="54" spans="1:63" x14ac:dyDescent="0.3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0.86100847171000827</v>
      </c>
      <c r="AC54" s="8">
        <v>675.03064182064645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3.5364136725725401E-2</v>
      </c>
      <c r="BK54" s="8">
        <v>675.03064182064645</v>
      </c>
    </row>
    <row r="55" spans="1:63" s="18" customFormat="1" x14ac:dyDescent="0.35">
      <c r="A55" s="16" t="s">
        <v>15</v>
      </c>
      <c r="B55" s="11"/>
      <c r="C55" s="17"/>
      <c r="D55" s="11">
        <v>5.0000000000000001E-3</v>
      </c>
      <c r="E55" s="17">
        <f>D55*D42</f>
        <v>8.5000000000000006E-2</v>
      </c>
      <c r="F55" s="11"/>
      <c r="G55" s="17"/>
      <c r="H55" s="11">
        <v>2.5999999999999999E-2</v>
      </c>
      <c r="I55" s="17">
        <f>H55*H42</f>
        <v>12.479999999999999</v>
      </c>
      <c r="J55" s="11">
        <v>0.02</v>
      </c>
      <c r="K55" s="17">
        <f>J55*J42</f>
        <v>8.44</v>
      </c>
      <c r="L55" s="11"/>
      <c r="M55" s="12"/>
      <c r="N55" s="11"/>
      <c r="O55" s="12"/>
      <c r="P55" s="11">
        <v>2E-3</v>
      </c>
      <c r="Q55" s="17">
        <f>P55*P42</f>
        <v>0.64</v>
      </c>
      <c r="R55" s="11"/>
      <c r="S55" s="17"/>
      <c r="T55" s="11"/>
      <c r="U55" s="12"/>
      <c r="V55" s="11">
        <v>2.7E-2</v>
      </c>
      <c r="W55" s="17">
        <f>V55*V42</f>
        <v>4.2119999999999997</v>
      </c>
      <c r="X55" s="11">
        <v>0.13200000000000001</v>
      </c>
      <c r="Y55" s="17">
        <f>X55*X42</f>
        <v>325.64400000000001</v>
      </c>
      <c r="Z55" s="11">
        <v>0.94399999999999995</v>
      </c>
      <c r="AA55" s="17">
        <f>Z55*Z42</f>
        <v>117.056</v>
      </c>
      <c r="AB55" s="11"/>
      <c r="AC55" s="12"/>
      <c r="AD55" s="11"/>
      <c r="AE55" s="12"/>
      <c r="AF55" s="11"/>
      <c r="AG55" s="17"/>
      <c r="AH55" s="11"/>
      <c r="AI55" s="12"/>
      <c r="AJ55" s="11"/>
      <c r="AK55" s="12"/>
      <c r="AL55" s="11">
        <v>7.0000000000000001E-3</v>
      </c>
      <c r="AM55" s="17">
        <f>AL55*AL42</f>
        <v>1.0429999999999999</v>
      </c>
      <c r="AN55" s="11"/>
      <c r="AO55" s="12"/>
      <c r="AP55" s="11">
        <v>5.0000000000000001E-3</v>
      </c>
      <c r="AQ55" s="17">
        <f>AP55*AP42</f>
        <v>1.7650000000000001</v>
      </c>
      <c r="AR55" s="11"/>
      <c r="AS55" s="12"/>
      <c r="AT55" s="11">
        <v>5.7000000000000002E-2</v>
      </c>
      <c r="AU55" s="17">
        <f>AT55*AT42</f>
        <v>35.795999999999999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4.3680000000000003</v>
      </c>
      <c r="BH55" s="11"/>
      <c r="BI55" s="12"/>
      <c r="BJ55" s="11">
        <v>4.0062067577358751E-2</v>
      </c>
      <c r="BK55" s="12">
        <v>764.70474591662389</v>
      </c>
    </row>
    <row r="56" spans="1:63" x14ac:dyDescent="0.3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6.3231850117095922E-2</v>
      </c>
      <c r="Y56" s="8">
        <v>155.99297423887563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8.1723058591196378E-3</v>
      </c>
      <c r="BK56" s="8">
        <v>155.99297423887563</v>
      </c>
    </row>
    <row r="57" spans="1:63" x14ac:dyDescent="0.3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4.6951322387399248E-2</v>
      </c>
      <c r="AG57" s="8">
        <v>131.5576053294927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6.8921628944621071E-3</v>
      </c>
      <c r="BK57" s="8">
        <v>131.5576053294927</v>
      </c>
    </row>
    <row r="58" spans="1:63" ht="58" x14ac:dyDescent="0.3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0.29845490780235073</v>
      </c>
      <c r="BK58" s="8">
        <v>5696.9072801312705</v>
      </c>
    </row>
    <row r="59" spans="1:63" ht="43.5" x14ac:dyDescent="0.3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0.13317513502474643</v>
      </c>
      <c r="BK59" s="8">
        <v>2542.0469773523596</v>
      </c>
    </row>
    <row r="60" spans="1:63" x14ac:dyDescent="0.35">
      <c r="A60" s="6" t="s">
        <v>204</v>
      </c>
      <c r="B60" s="13">
        <v>0.46375462873948481</v>
      </c>
      <c r="C60" s="14">
        <v>76.983268370754473</v>
      </c>
      <c r="D60" s="13">
        <v>0.85772075510954082</v>
      </c>
      <c r="E60" s="14">
        <v>14.581252836862195</v>
      </c>
      <c r="F60" s="13">
        <v>0.88916147128041523</v>
      </c>
      <c r="G60" s="14">
        <v>138.70918951974477</v>
      </c>
      <c r="H60" s="13">
        <v>0.56912725720501545</v>
      </c>
      <c r="I60" s="14">
        <v>273.18108345840744</v>
      </c>
      <c r="J60" s="13">
        <v>0.48157279792176788</v>
      </c>
      <c r="K60" s="14">
        <v>203.22372072298606</v>
      </c>
      <c r="L60" s="13">
        <v>0.5377086352724485</v>
      </c>
      <c r="M60" s="14">
        <v>1214.6838070804611</v>
      </c>
      <c r="N60" s="13">
        <v>0.90931746031746041</v>
      </c>
      <c r="O60" s="14">
        <v>57.287000000000006</v>
      </c>
      <c r="P60" s="13">
        <v>0.46989251562751944</v>
      </c>
      <c r="Q60" s="14">
        <v>150.36560500080623</v>
      </c>
      <c r="R60" s="13">
        <v>0.32201710187982246</v>
      </c>
      <c r="S60" s="14">
        <v>163.58468775494981</v>
      </c>
      <c r="T60" s="13">
        <v>0.15495555293410945</v>
      </c>
      <c r="U60" s="14">
        <v>6.5081332232325968</v>
      </c>
      <c r="V60" s="13">
        <v>0.7504042163482324</v>
      </c>
      <c r="W60" s="14">
        <v>117.06305775032425</v>
      </c>
      <c r="X60" s="13">
        <v>0.80799964673960278</v>
      </c>
      <c r="Y60" s="14">
        <v>1993.3351285066001</v>
      </c>
      <c r="Z60" s="13">
        <v>0.94399999999999995</v>
      </c>
      <c r="AA60" s="14">
        <v>117.056</v>
      </c>
      <c r="AB60" s="13">
        <v>0.86100847171000827</v>
      </c>
      <c r="AC60" s="14">
        <v>0</v>
      </c>
      <c r="AD60" s="13">
        <v>1</v>
      </c>
      <c r="AE60" s="14">
        <v>3</v>
      </c>
      <c r="AF60" s="13">
        <v>0.22918415596276431</v>
      </c>
      <c r="AG60" s="14">
        <v>642.17400500766564</v>
      </c>
      <c r="AH60" s="13">
        <v>0.68799999999999994</v>
      </c>
      <c r="AI60" s="14">
        <v>55.039999999999992</v>
      </c>
      <c r="AJ60" s="13">
        <v>0.75</v>
      </c>
      <c r="AK60" s="14">
        <v>4.5</v>
      </c>
      <c r="AL60" s="13">
        <v>0.99768903118899444</v>
      </c>
      <c r="AM60" s="14">
        <v>148.65566564716016</v>
      </c>
      <c r="AN60" s="13">
        <v>0.3008915363357767</v>
      </c>
      <c r="AO60" s="14">
        <v>145.33061205018015</v>
      </c>
      <c r="AP60" s="13">
        <v>0.11224163783487673</v>
      </c>
      <c r="AQ60" s="14">
        <v>39.621298155711486</v>
      </c>
      <c r="AR60" s="13">
        <v>0.63300000000000001</v>
      </c>
      <c r="AS60" s="14">
        <v>17.724</v>
      </c>
      <c r="AT60" s="13">
        <v>0.51858135058918564</v>
      </c>
      <c r="AU60" s="14">
        <v>325.66908817000859</v>
      </c>
      <c r="AV60" s="13">
        <v>0.31546779436397332</v>
      </c>
      <c r="AW60" s="14">
        <v>178.87023940437288</v>
      </c>
      <c r="AX60" s="13">
        <v>8.0528101021561271E-2</v>
      </c>
      <c r="AY60" s="14">
        <v>9.2607316174795464</v>
      </c>
      <c r="AZ60" s="13">
        <v>0.11392607865717541</v>
      </c>
      <c r="BA60" s="14">
        <v>32.810710653266518</v>
      </c>
      <c r="BB60" s="13">
        <v>0.41579831932773115</v>
      </c>
      <c r="BC60" s="14">
        <v>49.480000000000004</v>
      </c>
      <c r="BD60" s="13">
        <v>3.3968759828950312E-2</v>
      </c>
      <c r="BE60" s="14">
        <v>21.706037530699248</v>
      </c>
      <c r="BF60" s="13">
        <v>0.11527206076812613</v>
      </c>
      <c r="BG60" s="14">
        <v>71.929765919310711</v>
      </c>
      <c r="BH60" s="13">
        <v>2.0467957756876376E-2</v>
      </c>
      <c r="BI60" s="14">
        <v>16.59951374082674</v>
      </c>
      <c r="BJ60" s="13">
        <v>0.37758765600693089</v>
      </c>
      <c r="BK60" s="14">
        <v>7207.3931778602973</v>
      </c>
    </row>
  </sheetData>
  <mergeCells count="93">
    <mergeCell ref="B3:C3"/>
    <mergeCell ref="D3:E3"/>
    <mergeCell ref="F3:G3"/>
    <mergeCell ref="H3:I3"/>
    <mergeCell ref="J3:K3"/>
    <mergeCell ref="L3:M3"/>
    <mergeCell ref="AH3:AI3"/>
    <mergeCell ref="AJ3:AK3"/>
    <mergeCell ref="AL3:AM3"/>
    <mergeCell ref="AN3:AO3"/>
    <mergeCell ref="N3:O3"/>
    <mergeCell ref="P3:Q3"/>
    <mergeCell ref="R3:S3"/>
    <mergeCell ref="T3:U3"/>
    <mergeCell ref="V3:W3"/>
    <mergeCell ref="AR3:AS3"/>
    <mergeCell ref="X3:Y3"/>
    <mergeCell ref="Z3:AA3"/>
    <mergeCell ref="AB3:AC3"/>
    <mergeCell ref="AD3:AE3"/>
    <mergeCell ref="AF3:AG3"/>
    <mergeCell ref="BB3:BC3"/>
    <mergeCell ref="BD3:BE3"/>
    <mergeCell ref="BF3:BG3"/>
    <mergeCell ref="BH3:BI3"/>
    <mergeCell ref="BJ3:BK3"/>
    <mergeCell ref="AT3:AU3"/>
    <mergeCell ref="AV3:AW3"/>
    <mergeCell ref="AX3:AY3"/>
    <mergeCell ref="AZ3:BA3"/>
    <mergeCell ref="N21:O21"/>
    <mergeCell ref="P21:Q21"/>
    <mergeCell ref="R21:S21"/>
    <mergeCell ref="T21:U21"/>
    <mergeCell ref="V21:W21"/>
    <mergeCell ref="AP21:AQ21"/>
    <mergeCell ref="AR21:AS21"/>
    <mergeCell ref="AT21:AU21"/>
    <mergeCell ref="AV21:AW21"/>
    <mergeCell ref="AX21:AY21"/>
    <mergeCell ref="AZ21:BA21"/>
    <mergeCell ref="AP3:AQ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B42:C42"/>
    <mergeCell ref="D42:E42"/>
    <mergeCell ref="F42:G42"/>
    <mergeCell ref="H42:I42"/>
    <mergeCell ref="J42:K42"/>
    <mergeCell ref="L42:M42"/>
    <mergeCell ref="AH42:AI42"/>
    <mergeCell ref="AJ42:AK42"/>
    <mergeCell ref="AL42:AM42"/>
    <mergeCell ref="AN42:AO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BD42:BE42"/>
    <mergeCell ref="BF42:BG42"/>
    <mergeCell ref="BH42:BI42"/>
    <mergeCell ref="BJ42:BK42"/>
    <mergeCell ref="AP42:AQ42"/>
    <mergeCell ref="AR42:AS42"/>
    <mergeCell ref="AT42:AU42"/>
    <mergeCell ref="AV42:AW42"/>
    <mergeCell ref="AX42:AY42"/>
    <mergeCell ref="AZ42:BA42"/>
    <mergeCell ref="BB42:BC42"/>
  </mergeCells>
  <pageMargins left="0.7" right="0.7" top="0.75" bottom="0.75" header="0.3" footer="0.3"/>
  <pageSetup paperSize="9" orientation="portrait" r:id="rId1"/>
  <headerFooter>
    <oddFooter>&amp;L&amp;1#&amp;"Calibri"&amp;8 Classified as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162CFACA20F4F855F2AEA9BE31E23" ma:contentTypeVersion="6" ma:contentTypeDescription="Create a new document." ma:contentTypeScope="" ma:versionID="55d44745f7ad4c9e79d8677016aebe57">
  <xsd:schema xmlns:xsd="http://www.w3.org/2001/XMLSchema" xmlns:xs="http://www.w3.org/2001/XMLSchema" xmlns:p="http://schemas.microsoft.com/office/2006/metadata/properties" xmlns:ns3="11b5b82f-a94c-4d42-b7e2-95104753f00e" targetNamespace="http://schemas.microsoft.com/office/2006/metadata/properties" ma:root="true" ma:fieldsID="f45ff3f606985c533ff422716572ac59" ns3:_="">
    <xsd:import namespace="11b5b82f-a94c-4d42-b7e2-95104753f0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5b82f-a94c-4d42-b7e2-95104753f0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7B17B7-4CF7-440C-B2E0-D244D5681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5b82f-a94c-4d42-b7e2-95104753f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D2B033-D812-4E66-8A84-91DD45357C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B2E57-7D81-47B0-B9A9-17DE2EF3FE8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11b5b82f-a94c-4d42-b7e2-95104753f00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Cases</vt:lpstr>
      <vt:lpstr>Percentages</vt:lpstr>
      <vt:lpstr>Proportions</vt:lpstr>
      <vt:lpstr>Title page</vt:lpstr>
      <vt:lpstr>England</vt:lpstr>
      <vt:lpstr>England (2)</vt:lpstr>
      <vt:lpstr>Scotland</vt:lpstr>
      <vt:lpstr>Scotland (2)</vt:lpstr>
      <vt:lpstr>Wales</vt:lpstr>
      <vt:lpstr>Wales (2)</vt:lpstr>
      <vt:lpstr>Northern Ireland</vt:lpstr>
      <vt:lpstr>Northern Ireland (2)</vt:lpstr>
      <vt:lpstr>UK</vt:lpstr>
      <vt:lpstr>UK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Brown</dc:creator>
  <cp:lastModifiedBy>Bradley Gibbons</cp:lastModifiedBy>
  <dcterms:created xsi:type="dcterms:W3CDTF">2017-10-20T10:48:38Z</dcterms:created>
  <dcterms:modified xsi:type="dcterms:W3CDTF">2019-07-29T10:40:54Z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898273-c598-4265-99e9-54337ba7ba7c_Enabled">
    <vt:lpwstr>True</vt:lpwstr>
  </property>
  <property fmtid="{D5CDD505-2E9C-101B-9397-08002B2CF9AE}" pid="3" name="MSIP_Label_d6898273-c598-4265-99e9-54337ba7ba7c_SiteId">
    <vt:lpwstr>4473892f-71e0-46fc-8dec-273902b51349</vt:lpwstr>
  </property>
  <property fmtid="{D5CDD505-2E9C-101B-9397-08002B2CF9AE}" pid="4" name="MSIP_Label_d6898273-c598-4265-99e9-54337ba7ba7c_Owner">
    <vt:lpwstr>Bradley.Gibbons@cancer.org.uk</vt:lpwstr>
  </property>
  <property fmtid="{D5CDD505-2E9C-101B-9397-08002B2CF9AE}" pid="5" name="MSIP_Label_d6898273-c598-4265-99e9-54337ba7ba7c_SetDate">
    <vt:lpwstr>2019-07-29T10:28:38.7893546Z</vt:lpwstr>
  </property>
  <property fmtid="{D5CDD505-2E9C-101B-9397-08002B2CF9AE}" pid="6" name="MSIP_Label_d6898273-c598-4265-99e9-54337ba7ba7c_Name">
    <vt:lpwstr>Confidential</vt:lpwstr>
  </property>
  <property fmtid="{D5CDD505-2E9C-101B-9397-08002B2CF9AE}" pid="7" name="MSIP_Label_d6898273-c598-4265-99e9-54337ba7ba7c_Application">
    <vt:lpwstr>Microsoft Azure Information Protection</vt:lpwstr>
  </property>
  <property fmtid="{D5CDD505-2E9C-101B-9397-08002B2CF9AE}" pid="8" name="MSIP_Label_d6898273-c598-4265-99e9-54337ba7ba7c_Extended_MSFT_Method">
    <vt:lpwstr>Manual</vt:lpwstr>
  </property>
  <property fmtid="{D5CDD505-2E9C-101B-9397-08002B2CF9AE}" pid="9" name="MSIP_Label_526ca150-770a-423f-89cd-76778c4771e6_Enabled">
    <vt:lpwstr>True</vt:lpwstr>
  </property>
  <property fmtid="{D5CDD505-2E9C-101B-9397-08002B2CF9AE}" pid="10" name="MSIP_Label_526ca150-770a-423f-89cd-76778c4771e6_SiteId">
    <vt:lpwstr>4473892f-71e0-46fc-8dec-273902b51349</vt:lpwstr>
  </property>
  <property fmtid="{D5CDD505-2E9C-101B-9397-08002B2CF9AE}" pid="11" name="MSIP_Label_526ca150-770a-423f-89cd-76778c4771e6_Owner">
    <vt:lpwstr>Bradley.Gibbons@cancer.org.uk</vt:lpwstr>
  </property>
  <property fmtid="{D5CDD505-2E9C-101B-9397-08002B2CF9AE}" pid="12" name="MSIP_Label_526ca150-770a-423f-89cd-76778c4771e6_SetDate">
    <vt:lpwstr>2019-07-29T10:28:38.7893546Z</vt:lpwstr>
  </property>
  <property fmtid="{D5CDD505-2E9C-101B-9397-08002B2CF9AE}" pid="13" name="MSIP_Label_526ca150-770a-423f-89cd-76778c4771e6_Name">
    <vt:lpwstr>Anyone (not protected)</vt:lpwstr>
  </property>
  <property fmtid="{D5CDD505-2E9C-101B-9397-08002B2CF9AE}" pid="14" name="MSIP_Label_526ca150-770a-423f-89cd-76778c4771e6_Application">
    <vt:lpwstr>Microsoft Azure Information Protection</vt:lpwstr>
  </property>
  <property fmtid="{D5CDD505-2E9C-101B-9397-08002B2CF9AE}" pid="15" name="MSIP_Label_526ca150-770a-423f-89cd-76778c4771e6_Parent">
    <vt:lpwstr>d6898273-c598-4265-99e9-54337ba7ba7c</vt:lpwstr>
  </property>
  <property fmtid="{D5CDD505-2E9C-101B-9397-08002B2CF9AE}" pid="16" name="MSIP_Label_526ca150-770a-423f-89cd-76778c4771e6_Extended_MSFT_Method">
    <vt:lpwstr>Manual</vt:lpwstr>
  </property>
  <property fmtid="{D5CDD505-2E9C-101B-9397-08002B2CF9AE}" pid="17" name="Sensitivity">
    <vt:lpwstr>Confidential Anyone (not protected)</vt:lpwstr>
  </property>
  <property fmtid="{D5CDD505-2E9C-101B-9397-08002B2CF9AE}" pid="18" name="ContentTypeId">
    <vt:lpwstr>0x010100F3E162CFACA20F4F855F2AEA9BE31E23</vt:lpwstr>
  </property>
</Properties>
</file>