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apehu.local\ralprivatedata\PCDesktops$\mjonsson\Desktop\"/>
    </mc:Choice>
  </mc:AlternateContent>
  <xr:revisionPtr revIDLastSave="0" documentId="8_{B724EED0-584D-46AF-8BB2-69D82B3FC4DD}" xr6:coauthVersionLast="32" xr6:coauthVersionMax="32" xr10:uidLastSave="{00000000-0000-0000-0000-000000000000}"/>
  <bookViews>
    <workbookView xWindow="0" yWindow="0" windowWidth="24000" windowHeight="9525" tabRatio="764" xr2:uid="{00000000-000D-0000-FFFF-FFFF00000000}"/>
  </bookViews>
  <sheets>
    <sheet name="Booking Sheet" sheetId="1" r:id="rId1"/>
    <sheet name="Parameters" sheetId="2" state="hidden" r:id="rId2"/>
  </sheets>
  <definedNames>
    <definedName name="purchase">Parameters!$I$2:$I$3</definedName>
    <definedName name="purchaseorder">Parameters!$I$2:$I$3</definedName>
    <definedName name="regions">Parameters!$A$2:$A$22</definedName>
    <definedName name="schooltype">Parameters!$E$2:$E$4</definedName>
    <definedName name="skiarea">Parameters!$C$2:$C$3</definedName>
    <definedName name="sledding">Parameters!$K$2:$K$3</definedName>
    <definedName name="terms">Parameters!$G$2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95" i="1" l="1"/>
  <c r="F95" i="1" s="1"/>
  <c r="F94" i="1"/>
  <c r="L95" i="1"/>
  <c r="L94" i="1"/>
  <c r="L19" i="1"/>
  <c r="M86" i="1"/>
  <c r="M75" i="1"/>
  <c r="M74" i="1"/>
  <c r="M73" i="1"/>
  <c r="M62" i="1"/>
  <c r="M61" i="1"/>
  <c r="M60" i="1"/>
  <c r="M52" i="1"/>
  <c r="M48" i="1"/>
  <c r="C120" i="1" l="1"/>
  <c r="C99" i="1"/>
  <c r="L43" i="1"/>
  <c r="M43" i="1"/>
  <c r="B112" i="1"/>
  <c r="D119" i="1"/>
  <c r="D118" i="1"/>
  <c r="D117" i="1"/>
  <c r="C119" i="1"/>
  <c r="C117" i="1"/>
  <c r="D120" i="1" l="1"/>
  <c r="C53" i="1"/>
  <c r="M53" i="1" s="1"/>
  <c r="O43" i="1"/>
  <c r="L75" i="1"/>
  <c r="E75" i="1" s="1"/>
  <c r="F75" i="1" s="1"/>
  <c r="C84" i="1"/>
  <c r="L73" i="1" l="1"/>
  <c r="E73" i="1" s="1"/>
  <c r="F73" i="1" s="1"/>
  <c r="L46" i="1"/>
  <c r="E46" i="1" s="1"/>
  <c r="L53" i="1"/>
  <c r="E53" i="1" s="1"/>
  <c r="F53" i="1" s="1"/>
  <c r="L47" i="1"/>
  <c r="L62" i="1"/>
  <c r="E62" i="1" s="1"/>
  <c r="F62" i="1" s="1"/>
  <c r="L52" i="1"/>
  <c r="E52" i="1" s="1"/>
  <c r="F52" i="1" s="1"/>
  <c r="L86" i="1"/>
  <c r="E86" i="1" s="1"/>
  <c r="L48" i="1"/>
  <c r="E48" i="1" s="1"/>
  <c r="F48" i="1" s="1"/>
  <c r="L60" i="1"/>
  <c r="E60" i="1" s="1"/>
  <c r="F60" i="1" s="1"/>
  <c r="L74" i="1"/>
  <c r="E74" i="1" s="1"/>
  <c r="F74" i="1" s="1"/>
  <c r="L61" i="1"/>
  <c r="E61" i="1" s="1"/>
  <c r="F61" i="1" s="1"/>
  <c r="G77" i="1"/>
  <c r="C118" i="1" s="1"/>
  <c r="G64" i="1"/>
  <c r="C47" i="1"/>
  <c r="C46" i="1"/>
  <c r="G55" i="1"/>
  <c r="C116" i="1" s="1"/>
  <c r="E47" i="1" l="1"/>
  <c r="F47" i="1" s="1"/>
  <c r="F46" i="1"/>
  <c r="C121" i="1"/>
  <c r="N43" i="1"/>
  <c r="P43" i="1" s="1"/>
  <c r="Q43" i="1" s="1"/>
  <c r="M46" i="1" s="1"/>
  <c r="C71" i="1"/>
  <c r="R43" i="1" l="1"/>
  <c r="M47" i="1" s="1"/>
  <c r="D116" i="1" s="1"/>
  <c r="D121" i="1" s="1"/>
  <c r="S43" i="1" l="1"/>
  <c r="D126" i="1"/>
  <c r="D127" i="1"/>
  <c r="D125" i="1"/>
</calcChain>
</file>

<file path=xl/sharedStrings.xml><?xml version="1.0" encoding="utf-8"?>
<sst xmlns="http://schemas.openxmlformats.org/spreadsheetml/2006/main" count="147" uniqueCount="127">
  <si>
    <t>School Name</t>
  </si>
  <si>
    <t>School postal address</t>
  </si>
  <si>
    <t>Regions</t>
  </si>
  <si>
    <t>Northland</t>
  </si>
  <si>
    <t>Auckland</t>
  </si>
  <si>
    <t>Coromandel</t>
  </si>
  <si>
    <t>Waikato</t>
  </si>
  <si>
    <t>Bay of Plenty</t>
  </si>
  <si>
    <t>Rotorua</t>
  </si>
  <si>
    <t>Gisborne</t>
  </si>
  <si>
    <t>Taranaki</t>
  </si>
  <si>
    <t>Taupo</t>
  </si>
  <si>
    <t>Ruapehu</t>
  </si>
  <si>
    <t>Hawkes Bay</t>
  </si>
  <si>
    <t>Whanganui</t>
  </si>
  <si>
    <t>Manawatu</t>
  </si>
  <si>
    <t>Wairarapa</t>
  </si>
  <si>
    <t>Wellington</t>
  </si>
  <si>
    <t>Nelson/Tasman</t>
  </si>
  <si>
    <t>Marlborough</t>
  </si>
  <si>
    <t>West Coast</t>
  </si>
  <si>
    <t>Canterbury</t>
  </si>
  <si>
    <t>Otago</t>
  </si>
  <si>
    <t>Southland</t>
  </si>
  <si>
    <t>School Region</t>
  </si>
  <si>
    <t>SCHOOL DETAILS</t>
  </si>
  <si>
    <t>School coordinator name</t>
  </si>
  <si>
    <t>GROUP DETAILS</t>
  </si>
  <si>
    <t>VISIT DETAILS</t>
  </si>
  <si>
    <t>Date of visit</t>
  </si>
  <si>
    <t>Ski area</t>
  </si>
  <si>
    <t>Whakapapa (Happy Valley)</t>
  </si>
  <si>
    <t>Turoa (Alpine Meadow)</t>
  </si>
  <si>
    <t>Total number of adults</t>
  </si>
  <si>
    <t>How many adults want a lift pass (have their own gear)</t>
  </si>
  <si>
    <t>Skiing / riding</t>
  </si>
  <si>
    <t>Other products</t>
  </si>
  <si>
    <t>ADULTS</t>
  </si>
  <si>
    <t>STUDENTS</t>
  </si>
  <si>
    <t>School Type</t>
  </si>
  <si>
    <t>School type</t>
  </si>
  <si>
    <t>Primary</t>
  </si>
  <si>
    <t>Intermediate</t>
  </si>
  <si>
    <t>Secondary</t>
  </si>
  <si>
    <t>Skiing</t>
  </si>
  <si>
    <t>How many students want a full ski package (Lesson / lift pass / rentals)</t>
  </si>
  <si>
    <t>How many students want a ski Lesson and Rental equipment (have a lift pass)</t>
  </si>
  <si>
    <t>How many students want a ski Lesson (have their own gear and lift pass)</t>
  </si>
  <si>
    <t>How many students are Level 1</t>
  </si>
  <si>
    <t>How many students are level 2</t>
  </si>
  <si>
    <t>How many students are level 3</t>
  </si>
  <si>
    <t>How many students are level 4</t>
  </si>
  <si>
    <t>"It's my first time. I've never skied before"</t>
  </si>
  <si>
    <t>"I can control my speed and come to a stop"</t>
  </si>
  <si>
    <t>"I can link turns the whole way down a beginners slope"</t>
  </si>
  <si>
    <t>"I can control my speed by turn shape"</t>
  </si>
  <si>
    <t>How many students are level 5+</t>
  </si>
  <si>
    <t>"I can ride a T-bar" / "I am starting to ski easy off piste runs"</t>
  </si>
  <si>
    <t>Total skiers</t>
  </si>
  <si>
    <t>Snowboarding</t>
  </si>
  <si>
    <t>How many students want a full snowboard package (Lesson / lift pass / rentals)</t>
  </si>
  <si>
    <t>How many students want a snowboard Lesson and Rental equipment (have a lift pass)</t>
  </si>
  <si>
    <t>How many students want a snowboard Lesson (have their own gear and lift pass)</t>
  </si>
  <si>
    <t>Total snowboarders</t>
  </si>
  <si>
    <t>Levels</t>
  </si>
  <si>
    <t>Rental clothing</t>
  </si>
  <si>
    <t>(for all skiers and snowboarders)</t>
  </si>
  <si>
    <t>OVERVIEW</t>
  </si>
  <si>
    <t>This form allows you to plan your school trip to Whakapapa or Turoa for the winter 2018 season.</t>
  </si>
  <si>
    <t>How many vegetarian meals</t>
  </si>
  <si>
    <t>How many vegan meals</t>
  </si>
  <si>
    <t>How many gluten free meals</t>
  </si>
  <si>
    <t>Are there any other special requirements we need to be aware of for this group?</t>
  </si>
  <si>
    <t>SchoolType</t>
  </si>
  <si>
    <t>Package</t>
  </si>
  <si>
    <t>RentLesson</t>
  </si>
  <si>
    <t>Lesson</t>
  </si>
  <si>
    <t>Clothing</t>
  </si>
  <si>
    <t>How many adults need Jackets/Pants/Helmet</t>
  </si>
  <si>
    <t>How many students need jackets/pants/helmets</t>
  </si>
  <si>
    <t>Lunch</t>
  </si>
  <si>
    <t>DistrictNon</t>
  </si>
  <si>
    <t>Product build</t>
  </si>
  <si>
    <t>Joiner</t>
  </si>
  <si>
    <t>Liftpass</t>
  </si>
  <si>
    <t>Total students</t>
  </si>
  <si>
    <t>Ratio adults</t>
  </si>
  <si>
    <t>free adults</t>
  </si>
  <si>
    <t>ski pack to remove</t>
  </si>
  <si>
    <t>sb pack to remove</t>
  </si>
  <si>
    <t>lift pass to remove</t>
  </si>
  <si>
    <t>Total Adults</t>
  </si>
  <si>
    <t>Total Students skiing</t>
  </si>
  <si>
    <t>Total Students Snowboarding</t>
  </si>
  <si>
    <t>Total Students rental clothing</t>
  </si>
  <si>
    <t>Total of quote for visit</t>
  </si>
  <si>
    <t>Please note the following fees for changes/cancellations</t>
  </si>
  <si>
    <t xml:space="preserve">    - note that this fee is a calculated maximum, and is in addition to the actual costs for the group members present on the day</t>
  </si>
  <si>
    <t>If changed/rescheduled/cancelled between 4-13 days before booking date</t>
  </si>
  <si>
    <t>If changed/rescheduled/cancelled 14 days or more before booking date</t>
  </si>
  <si>
    <t>Pax</t>
  </si>
  <si>
    <t>Cost (including GST)</t>
  </si>
  <si>
    <t>School coordinator phone number</t>
  </si>
  <si>
    <t>School coordinator email address</t>
  </si>
  <si>
    <t>Accept T&amp;Cs</t>
  </si>
  <si>
    <t>Yes, I have read and accept the Terms and Conditions.</t>
  </si>
  <si>
    <t>Special dietary requirements</t>
  </si>
  <si>
    <t>purchase order</t>
  </si>
  <si>
    <t>Yes</t>
  </si>
  <si>
    <t>No</t>
  </si>
  <si>
    <t>SCHOOLS &amp; GROUPS - RECREATIONAL VISIT - BOOKING FORM</t>
  </si>
  <si>
    <t>Sledding</t>
  </si>
  <si>
    <t>Sledding is available to school groups on a "2 for 1" basis, either as 2 students for the price of one for a single hour, or 2 hours of sledding for the price of one.</t>
  </si>
  <si>
    <t>2 students for the price of 1, or 2 hours for the price of 1?</t>
  </si>
  <si>
    <t>2 for 1 sledding</t>
  </si>
  <si>
    <t>2 people for the price of one</t>
  </si>
  <si>
    <t>2 hours for the price of one</t>
  </si>
  <si>
    <t>Number of adults</t>
  </si>
  <si>
    <t>Number of students</t>
  </si>
  <si>
    <t>Total Sledding</t>
  </si>
  <si>
    <r>
      <t xml:space="preserve">If changed/rescheduled/cancelled/group size decreased </t>
    </r>
    <r>
      <rPr>
        <b/>
        <u/>
        <sz val="11"/>
        <color theme="1"/>
        <rFont val="Arial"/>
        <family val="2"/>
      </rPr>
      <t>within</t>
    </r>
    <r>
      <rPr>
        <sz val="11"/>
        <color theme="1"/>
        <rFont val="Arial"/>
        <family val="2"/>
      </rPr>
      <t xml:space="preserve"> 3 days of booking date</t>
    </r>
  </si>
  <si>
    <t>Please note, 1 adult goes free for every 5 primary or intermediate students, and 1 adult goes free for every 8 secondary students</t>
  </si>
  <si>
    <t>Preferred arrival time</t>
  </si>
  <si>
    <t xml:space="preserve">   Please note that arrival times are assigned by order of booking. Your preferred arrival time will be used to
    best fit you to a time close to your preference. This will be confirmed as part of the acceptance of your booking.</t>
  </si>
  <si>
    <t>This form is designed for schools wanting to plan a small number of recreational visits.  If your school is wanting to book any of the following, please contact our 
Schools and Groups Coordinators so they can discuss with you.
- If you want to make a consecutive day booking
- If you are likely to make more than 10 visits in the 2018 season
- If would like to plan a training visit for competition</t>
  </si>
  <si>
    <t>Please indicate that you have read and accept our Terms and Conditions, available at www.mtruapehu.com/groups/terms</t>
  </si>
  <si>
    <t>Please submit this completed booking form, and one of our Schools &amp; Groups Coordinators 
will be in touch to confirm pricing for your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</si>
</sst>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/>
    <xf numFmtId="0" fontId="3" fillId="5" borderId="0" xfId="0" applyFont="1" applyFill="1" applyBorder="1" applyAlignment="1"/>
    <xf numFmtId="0" fontId="6" fillId="5" borderId="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wrapText="1"/>
    </xf>
    <xf numFmtId="0" fontId="3" fillId="5" borderId="7" xfId="0" applyFont="1" applyFill="1" applyBorder="1"/>
    <xf numFmtId="0" fontId="3" fillId="5" borderId="8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5" xfId="0" applyFont="1" applyFill="1" applyBorder="1"/>
    <xf numFmtId="0" fontId="3" fillId="5" borderId="6" xfId="0" applyFont="1" applyFill="1" applyBorder="1"/>
    <xf numFmtId="0" fontId="3" fillId="0" borderId="5" xfId="0" applyFont="1" applyBorder="1"/>
    <xf numFmtId="0" fontId="3" fillId="5" borderId="0" xfId="0" applyFont="1" applyFill="1" applyBorder="1" applyAlignment="1">
      <alignment horizontal="left"/>
    </xf>
    <xf numFmtId="0" fontId="3" fillId="3" borderId="1" xfId="0" applyFont="1" applyFill="1" applyBorder="1" applyProtection="1">
      <protection locked="0"/>
    </xf>
    <xf numFmtId="0" fontId="3" fillId="0" borderId="0" xfId="0" applyFont="1" applyBorder="1"/>
    <xf numFmtId="0" fontId="3" fillId="5" borderId="8" xfId="0" applyFont="1" applyFill="1" applyBorder="1"/>
    <xf numFmtId="0" fontId="3" fillId="5" borderId="9" xfId="0" applyFont="1" applyFill="1" applyBorder="1"/>
    <xf numFmtId="14" fontId="3" fillId="3" borderId="1" xfId="0" applyNumberFormat="1" applyFont="1" applyFill="1" applyBorder="1" applyProtection="1">
      <protection locked="0"/>
    </xf>
    <xf numFmtId="0" fontId="5" fillId="5" borderId="7" xfId="0" applyFont="1" applyFill="1" applyBorder="1"/>
    <xf numFmtId="0" fontId="5" fillId="5" borderId="0" xfId="0" applyFont="1" applyFill="1" applyBorder="1" applyAlignment="1"/>
    <xf numFmtId="0" fontId="3" fillId="5" borderId="5" xfId="0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center"/>
    </xf>
    <xf numFmtId="165" fontId="3" fillId="5" borderId="0" xfId="0" applyNumberFormat="1" applyFont="1" applyFill="1"/>
    <xf numFmtId="0" fontId="3" fillId="5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3" fillId="5" borderId="3" xfId="0" applyFont="1" applyFill="1" applyBorder="1"/>
    <xf numFmtId="0" fontId="3" fillId="0" borderId="3" xfId="0" applyFont="1" applyBorder="1"/>
    <xf numFmtId="0" fontId="3" fillId="5" borderId="4" xfId="0" applyFont="1" applyFill="1" applyBorder="1"/>
    <xf numFmtId="0" fontId="7" fillId="5" borderId="0" xfId="0" applyFont="1" applyFill="1" applyBorder="1"/>
    <xf numFmtId="0" fontId="8" fillId="5" borderId="8" xfId="0" applyFont="1" applyFill="1" applyBorder="1" applyAlignment="1">
      <alignment horizontal="right"/>
    </xf>
    <xf numFmtId="0" fontId="3" fillId="0" borderId="8" xfId="0" applyFont="1" applyBorder="1"/>
    <xf numFmtId="0" fontId="5" fillId="5" borderId="5" xfId="0" applyFont="1" applyFill="1" applyBorder="1" applyAlignment="1">
      <alignment horizontal="right"/>
    </xf>
    <xf numFmtId="0" fontId="9" fillId="5" borderId="0" xfId="0" applyFont="1" applyFill="1" applyBorder="1"/>
    <xf numFmtId="0" fontId="3" fillId="5" borderId="2" xfId="0" applyFont="1" applyFill="1" applyBorder="1"/>
    <xf numFmtId="0" fontId="3" fillId="5" borderId="0" xfId="0" applyFont="1" applyFill="1" applyBorder="1" applyAlignment="1">
      <alignment horizontal="left" wrapText="1"/>
    </xf>
    <xf numFmtId="0" fontId="3" fillId="5" borderId="10" xfId="0" applyFont="1" applyFill="1" applyBorder="1"/>
    <xf numFmtId="0" fontId="3" fillId="5" borderId="11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5" borderId="2" xfId="0" applyFont="1" applyFill="1" applyBorder="1"/>
    <xf numFmtId="0" fontId="3" fillId="3" borderId="1" xfId="0" applyFont="1" applyFill="1" applyBorder="1" applyAlignment="1" applyProtection="1">
      <alignment vertical="top"/>
      <protection locked="0"/>
    </xf>
    <xf numFmtId="0" fontId="3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/>
    <xf numFmtId="165" fontId="3" fillId="5" borderId="1" xfId="0" applyNumberFormat="1" applyFont="1" applyFill="1" applyBorder="1"/>
    <xf numFmtId="0" fontId="5" fillId="5" borderId="1" xfId="0" applyFont="1" applyFill="1" applyBorder="1" applyAlignment="1">
      <alignment horizontal="right"/>
    </xf>
    <xf numFmtId="0" fontId="5" fillId="5" borderId="5" xfId="0" applyFont="1" applyFill="1" applyBorder="1"/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right"/>
    </xf>
    <xf numFmtId="0" fontId="3" fillId="5" borderId="5" xfId="0" quotePrefix="1" applyFont="1" applyFill="1" applyBorder="1"/>
    <xf numFmtId="0" fontId="5" fillId="5" borderId="0" xfId="0" applyFont="1" applyFill="1" applyBorder="1" applyAlignment="1">
      <alignment horizontal="center"/>
    </xf>
    <xf numFmtId="165" fontId="5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left"/>
    </xf>
    <xf numFmtId="0" fontId="3" fillId="5" borderId="0" xfId="0" applyFont="1" applyFill="1" applyAlignment="1">
      <alignment horizontal="right"/>
    </xf>
    <xf numFmtId="0" fontId="6" fillId="5" borderId="0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 wrapText="1"/>
    </xf>
    <xf numFmtId="0" fontId="3" fillId="5" borderId="8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 wrapText="1"/>
    </xf>
    <xf numFmtId="0" fontId="3" fillId="5" borderId="11" xfId="0" applyFont="1" applyFill="1" applyBorder="1" applyAlignment="1">
      <alignment horizontal="right"/>
    </xf>
    <xf numFmtId="165" fontId="5" fillId="5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2" fillId="5" borderId="0" xfId="0" applyFont="1" applyFill="1" applyBorder="1"/>
    <xf numFmtId="0" fontId="3" fillId="5" borderId="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9" fillId="5" borderId="0" xfId="0" quotePrefix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right"/>
    </xf>
    <xf numFmtId="0" fontId="10" fillId="5" borderId="5" xfId="0" applyFont="1" applyFill="1" applyBorder="1" applyAlignment="1" applyProtection="1">
      <alignment horizontal="left" vertical="top" wrapText="1"/>
      <protection locked="0"/>
    </xf>
    <xf numFmtId="0" fontId="10" fillId="5" borderId="0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5" borderId="14" xfId="0" applyFont="1" applyFill="1" applyBorder="1"/>
    <xf numFmtId="165" fontId="5" fillId="5" borderId="14" xfId="0" applyNumberFormat="1" applyFont="1" applyFill="1" applyBorder="1"/>
    <xf numFmtId="0" fontId="1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95250</xdr:rowOff>
    </xdr:from>
    <xdr:to>
      <xdr:col>1</xdr:col>
      <xdr:colOff>1617134</xdr:colOff>
      <xdr:row>7</xdr:row>
      <xdr:rowOff>164042</xdr:rowOff>
    </xdr:to>
    <xdr:pic>
      <xdr:nvPicPr>
        <xdr:cNvPr id="3" name="Picture 2" descr="U:\Company Brand Artwork &amp; Specifications\Logos\RAL 2013 grey logo.jpg">
          <a:extLst>
            <a:ext uri="{FF2B5EF4-FFF2-40B4-BE49-F238E27FC236}">
              <a16:creationId xmlns:a16="http://schemas.microsoft.com/office/drawing/2014/main" id="{9859312C-3BA5-47F2-BB98-FFF46F6230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95250"/>
          <a:ext cx="1828801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1"/>
  <sheetViews>
    <sheetView tabSelected="1" topLeftCell="A100" zoomScale="90" zoomScaleNormal="90" workbookViewId="0">
      <selection activeCell="D123" sqref="D123"/>
    </sheetView>
  </sheetViews>
  <sheetFormatPr defaultColWidth="9.140625" defaultRowHeight="14.25" x14ac:dyDescent="0.2"/>
  <cols>
    <col min="1" max="1" width="6.140625" style="2" customWidth="1"/>
    <col min="2" max="2" width="39.7109375" style="3" customWidth="1"/>
    <col min="3" max="3" width="41.28515625" style="3" customWidth="1"/>
    <col min="4" max="4" width="51.28515625" style="3" customWidth="1"/>
    <col min="5" max="5" width="12" style="68" hidden="1" customWidth="1"/>
    <col min="6" max="6" width="7.42578125" style="3" hidden="1" customWidth="1"/>
    <col min="7" max="7" width="9.140625" style="3"/>
    <col min="8" max="8" width="1" style="3" customWidth="1"/>
    <col min="9" max="9" width="9.140625" style="3"/>
    <col min="10" max="10" width="3.140625" style="3" customWidth="1"/>
    <col min="11" max="11" width="4.7109375" style="2" hidden="1" customWidth="1"/>
    <col min="12" max="12" width="18.42578125" style="2" hidden="1" customWidth="1"/>
    <col min="13" max="13" width="11.140625" style="2" hidden="1" customWidth="1"/>
    <col min="14" max="14" width="13.7109375" style="2" hidden="1" customWidth="1"/>
    <col min="15" max="16" width="9.140625" style="2" hidden="1" customWidth="1"/>
    <col min="17" max="17" width="17.7109375" style="2" hidden="1" customWidth="1"/>
    <col min="18" max="18" width="17.28515625" style="2" hidden="1" customWidth="1"/>
    <col min="19" max="20" width="9.140625" style="2" hidden="1" customWidth="1"/>
    <col min="21" max="28" width="9.140625" style="2"/>
    <col min="29" max="16384" width="9.140625" style="3"/>
  </cols>
  <sheetData>
    <row r="1" spans="2:15" x14ac:dyDescent="0.2">
      <c r="B1" s="2"/>
      <c r="C1" s="2"/>
      <c r="D1" s="2"/>
      <c r="E1" s="58"/>
      <c r="F1" s="2"/>
      <c r="G1" s="2"/>
      <c r="H1" s="2"/>
      <c r="I1" s="2"/>
      <c r="J1" s="2"/>
    </row>
    <row r="2" spans="2:15" x14ac:dyDescent="0.2">
      <c r="B2" s="2"/>
      <c r="C2" s="2"/>
      <c r="D2" s="2"/>
      <c r="E2" s="58"/>
      <c r="F2" s="2"/>
      <c r="G2" s="2"/>
      <c r="H2" s="2"/>
      <c r="I2" s="2"/>
      <c r="J2" s="2"/>
    </row>
    <row r="3" spans="2:15" x14ac:dyDescent="0.2">
      <c r="B3" s="2"/>
      <c r="C3" s="2"/>
      <c r="D3" s="2"/>
      <c r="E3" s="58"/>
      <c r="F3" s="2"/>
      <c r="G3" s="2"/>
      <c r="H3" s="2"/>
      <c r="I3" s="2"/>
      <c r="J3" s="2"/>
    </row>
    <row r="4" spans="2:15" x14ac:dyDescent="0.2">
      <c r="B4" s="2"/>
      <c r="C4" s="2"/>
      <c r="D4" s="2"/>
      <c r="E4" s="58"/>
      <c r="F4" s="2"/>
      <c r="G4" s="2"/>
      <c r="H4" s="2"/>
      <c r="I4" s="2"/>
      <c r="J4" s="2"/>
    </row>
    <row r="5" spans="2:15" x14ac:dyDescent="0.2">
      <c r="B5" s="2"/>
      <c r="C5" s="2"/>
      <c r="D5" s="2"/>
      <c r="E5" s="58"/>
      <c r="F5" s="2"/>
      <c r="G5" s="2"/>
      <c r="H5" s="2"/>
      <c r="I5" s="2"/>
      <c r="J5" s="2"/>
    </row>
    <row r="6" spans="2:15" x14ac:dyDescent="0.2">
      <c r="B6" s="2"/>
      <c r="C6" s="2"/>
      <c r="D6" s="2"/>
      <c r="E6" s="58"/>
      <c r="F6" s="2"/>
      <c r="G6" s="2"/>
      <c r="H6" s="2"/>
      <c r="I6" s="2"/>
      <c r="J6" s="2"/>
    </row>
    <row r="7" spans="2:15" ht="18" x14ac:dyDescent="0.25">
      <c r="B7" s="2"/>
      <c r="C7" s="88" t="s">
        <v>110</v>
      </c>
      <c r="D7" s="88"/>
      <c r="E7" s="88"/>
      <c r="F7" s="88"/>
      <c r="G7" s="88"/>
      <c r="H7" s="88"/>
      <c r="I7" s="88"/>
      <c r="J7" s="88"/>
      <c r="K7" s="88"/>
      <c r="L7" s="88"/>
    </row>
    <row r="8" spans="2:15" x14ac:dyDescent="0.2">
      <c r="B8" s="2"/>
      <c r="C8" s="2"/>
      <c r="D8" s="2"/>
      <c r="E8" s="58"/>
      <c r="F8" s="2"/>
      <c r="G8" s="2"/>
      <c r="H8" s="2"/>
      <c r="I8" s="2"/>
      <c r="J8" s="2"/>
    </row>
    <row r="9" spans="2:15" s="2" customFormat="1" x14ac:dyDescent="0.2">
      <c r="E9" s="58"/>
    </row>
    <row r="10" spans="2:15" ht="15" x14ac:dyDescent="0.25">
      <c r="B10" s="90" t="s">
        <v>67</v>
      </c>
      <c r="C10" s="91"/>
      <c r="D10" s="91"/>
      <c r="E10" s="91"/>
      <c r="F10" s="91"/>
      <c r="G10" s="91"/>
      <c r="H10" s="91"/>
      <c r="I10" s="91"/>
      <c r="J10" s="92"/>
      <c r="K10" s="4"/>
      <c r="L10" s="4"/>
      <c r="M10" s="4"/>
      <c r="N10" s="4"/>
      <c r="O10" s="4"/>
    </row>
    <row r="11" spans="2:15" ht="15" x14ac:dyDescent="0.2">
      <c r="B11" s="82" t="s">
        <v>68</v>
      </c>
      <c r="C11" s="83"/>
      <c r="D11" s="83"/>
      <c r="E11" s="83"/>
      <c r="F11" s="83"/>
      <c r="G11" s="83"/>
      <c r="H11" s="83"/>
      <c r="I11" s="83"/>
      <c r="J11" s="84"/>
      <c r="K11" s="5"/>
      <c r="L11" s="5"/>
      <c r="M11" s="5"/>
      <c r="N11" s="5"/>
      <c r="O11" s="5"/>
    </row>
    <row r="12" spans="2:15" ht="4.5" customHeight="1" x14ac:dyDescent="0.2">
      <c r="B12" s="6"/>
      <c r="C12" s="7"/>
      <c r="D12" s="7"/>
      <c r="E12" s="59"/>
      <c r="F12" s="7"/>
      <c r="G12" s="7"/>
      <c r="H12" s="7"/>
      <c r="I12" s="7"/>
      <c r="J12" s="8"/>
      <c r="K12" s="5"/>
      <c r="L12" s="5"/>
      <c r="M12" s="5"/>
      <c r="N12" s="5"/>
      <c r="O12" s="5"/>
    </row>
    <row r="13" spans="2:15" ht="72.75" customHeight="1" x14ac:dyDescent="0.2">
      <c r="B13" s="85" t="s">
        <v>124</v>
      </c>
      <c r="C13" s="86"/>
      <c r="D13" s="86"/>
      <c r="E13" s="86"/>
      <c r="F13" s="86"/>
      <c r="G13" s="86"/>
      <c r="H13" s="86"/>
      <c r="I13" s="86"/>
      <c r="J13" s="87"/>
      <c r="K13" s="9"/>
      <c r="L13" s="9"/>
      <c r="M13" s="9"/>
      <c r="N13" s="9"/>
      <c r="O13" s="9"/>
    </row>
    <row r="14" spans="2:15" ht="30" customHeight="1" x14ac:dyDescent="0.2">
      <c r="B14" s="103"/>
      <c r="C14" s="102" t="s">
        <v>126</v>
      </c>
      <c r="D14" s="102"/>
      <c r="E14" s="104"/>
      <c r="F14" s="104"/>
      <c r="G14" s="104"/>
      <c r="H14" s="104"/>
      <c r="I14" s="104"/>
      <c r="J14" s="105"/>
      <c r="K14" s="9"/>
      <c r="L14" s="9"/>
      <c r="M14" s="9"/>
      <c r="N14" s="9"/>
      <c r="O14" s="9"/>
    </row>
    <row r="15" spans="2:15" ht="15" customHeight="1" x14ac:dyDescent="0.2">
      <c r="B15" s="10"/>
      <c r="C15" s="11"/>
      <c r="D15" s="11"/>
      <c r="E15" s="60"/>
      <c r="F15" s="11"/>
      <c r="G15" s="11"/>
      <c r="H15" s="11"/>
      <c r="I15" s="11"/>
      <c r="J15" s="12"/>
      <c r="K15" s="13"/>
      <c r="L15" s="13"/>
      <c r="M15" s="13"/>
      <c r="N15" s="13"/>
      <c r="O15" s="13"/>
    </row>
    <row r="16" spans="2:15" ht="6" customHeight="1" x14ac:dyDescent="0.2">
      <c r="B16" s="2"/>
      <c r="C16" s="2"/>
      <c r="D16" s="2"/>
      <c r="E16" s="58"/>
      <c r="F16" s="2"/>
      <c r="G16" s="2"/>
      <c r="H16" s="2"/>
      <c r="I16" s="2"/>
      <c r="J16" s="2"/>
    </row>
    <row r="17" spans="2:12" ht="15" x14ac:dyDescent="0.25">
      <c r="B17" s="90" t="s">
        <v>25</v>
      </c>
      <c r="C17" s="91"/>
      <c r="D17" s="91"/>
      <c r="E17" s="91"/>
      <c r="F17" s="91"/>
      <c r="G17" s="91"/>
      <c r="H17" s="91"/>
      <c r="I17" s="91"/>
      <c r="J17" s="92"/>
    </row>
    <row r="18" spans="2:12" ht="6" customHeight="1" x14ac:dyDescent="0.2">
      <c r="B18" s="14"/>
      <c r="C18" s="4"/>
      <c r="D18" s="4"/>
      <c r="E18" s="29"/>
      <c r="F18" s="4"/>
      <c r="G18" s="4"/>
      <c r="H18" s="4"/>
      <c r="I18" s="4"/>
      <c r="J18" s="15"/>
    </row>
    <row r="19" spans="2:12" x14ac:dyDescent="0.2">
      <c r="B19" s="16" t="s">
        <v>0</v>
      </c>
      <c r="C19" s="94"/>
      <c r="D19" s="95"/>
      <c r="E19" s="95"/>
      <c r="F19" s="95"/>
      <c r="G19" s="96"/>
      <c r="H19" s="17"/>
      <c r="I19" s="17"/>
      <c r="J19" s="15"/>
      <c r="L19" s="2">
        <f>C19</f>
        <v>0</v>
      </c>
    </row>
    <row r="20" spans="2:12" ht="6" customHeight="1" x14ac:dyDescent="0.2">
      <c r="B20" s="14"/>
      <c r="C20" s="4"/>
      <c r="D20" s="4"/>
      <c r="E20" s="29"/>
      <c r="F20" s="4"/>
      <c r="G20" s="4"/>
      <c r="H20" s="4"/>
      <c r="I20" s="4"/>
      <c r="J20" s="15"/>
    </row>
    <row r="21" spans="2:12" x14ac:dyDescent="0.2">
      <c r="B21" s="16" t="s">
        <v>39</v>
      </c>
      <c r="C21" s="18"/>
      <c r="D21" s="4"/>
      <c r="E21" s="29"/>
      <c r="F21" s="4"/>
      <c r="G21" s="4"/>
      <c r="H21" s="4"/>
      <c r="I21" s="4"/>
      <c r="J21" s="15"/>
    </row>
    <row r="22" spans="2:12" ht="6" customHeight="1" x14ac:dyDescent="0.2">
      <c r="B22" s="14"/>
      <c r="C22" s="4"/>
      <c r="D22" s="4"/>
      <c r="E22" s="29"/>
      <c r="F22" s="4"/>
      <c r="G22" s="4"/>
      <c r="H22" s="4"/>
      <c r="I22" s="4"/>
      <c r="J22" s="15"/>
    </row>
    <row r="23" spans="2:12" x14ac:dyDescent="0.2">
      <c r="B23" s="16" t="s">
        <v>1</v>
      </c>
      <c r="C23" s="94"/>
      <c r="D23" s="95"/>
      <c r="E23" s="95"/>
      <c r="F23" s="95"/>
      <c r="G23" s="96"/>
      <c r="H23" s="17"/>
      <c r="I23" s="17"/>
      <c r="J23" s="15"/>
    </row>
    <row r="24" spans="2:12" ht="6" customHeight="1" x14ac:dyDescent="0.2">
      <c r="B24" s="14"/>
      <c r="C24" s="4"/>
      <c r="D24" s="4"/>
      <c r="E24" s="29"/>
      <c r="F24" s="4"/>
      <c r="G24" s="4"/>
      <c r="H24" s="4"/>
      <c r="I24" s="4"/>
      <c r="J24" s="15"/>
    </row>
    <row r="25" spans="2:12" x14ac:dyDescent="0.2">
      <c r="B25" s="16" t="s">
        <v>24</v>
      </c>
      <c r="C25" s="18"/>
      <c r="D25" s="4"/>
      <c r="E25" s="29"/>
      <c r="F25" s="4"/>
      <c r="G25" s="4"/>
      <c r="H25" s="4"/>
      <c r="I25" s="4"/>
      <c r="J25" s="15"/>
    </row>
    <row r="26" spans="2:12" ht="6" customHeight="1" x14ac:dyDescent="0.2">
      <c r="B26" s="14"/>
      <c r="C26" s="4"/>
      <c r="D26" s="4"/>
      <c r="E26" s="29"/>
      <c r="F26" s="4"/>
      <c r="G26" s="4"/>
      <c r="H26" s="4"/>
      <c r="I26" s="4"/>
      <c r="J26" s="15"/>
    </row>
    <row r="27" spans="2:12" x14ac:dyDescent="0.2">
      <c r="B27" s="16" t="s">
        <v>26</v>
      </c>
      <c r="C27" s="94"/>
      <c r="D27" s="95"/>
      <c r="E27" s="95"/>
      <c r="F27" s="95"/>
      <c r="G27" s="96"/>
      <c r="H27" s="17"/>
      <c r="I27" s="17"/>
      <c r="J27" s="15"/>
    </row>
    <row r="28" spans="2:12" ht="6" customHeight="1" x14ac:dyDescent="0.2">
      <c r="B28" s="14"/>
      <c r="C28" s="4"/>
      <c r="D28" s="4"/>
      <c r="E28" s="29"/>
      <c r="F28" s="4"/>
      <c r="G28" s="4"/>
      <c r="H28" s="4"/>
      <c r="I28" s="4"/>
      <c r="J28" s="15"/>
    </row>
    <row r="29" spans="2:12" x14ac:dyDescent="0.2">
      <c r="B29" s="16" t="s">
        <v>102</v>
      </c>
      <c r="C29" s="18"/>
      <c r="D29" s="4"/>
      <c r="E29" s="29"/>
      <c r="F29" s="4"/>
      <c r="G29" s="19"/>
      <c r="H29" s="4"/>
      <c r="I29" s="4"/>
      <c r="J29" s="15"/>
    </row>
    <row r="30" spans="2:12" ht="6" customHeight="1" x14ac:dyDescent="0.2">
      <c r="B30" s="14"/>
      <c r="C30" s="4"/>
      <c r="D30" s="4"/>
      <c r="E30" s="29"/>
      <c r="F30" s="4"/>
      <c r="G30" s="4"/>
      <c r="H30" s="4"/>
      <c r="I30" s="4"/>
      <c r="J30" s="15"/>
    </row>
    <row r="31" spans="2:12" x14ac:dyDescent="0.2">
      <c r="B31" s="16" t="s">
        <v>103</v>
      </c>
      <c r="C31" s="18"/>
      <c r="D31" s="4"/>
      <c r="E31" s="29"/>
      <c r="F31" s="4"/>
      <c r="G31" s="19"/>
      <c r="H31" s="4"/>
      <c r="I31" s="4"/>
      <c r="J31" s="15"/>
    </row>
    <row r="32" spans="2:12" x14ac:dyDescent="0.2">
      <c r="B32" s="10"/>
      <c r="C32" s="20"/>
      <c r="D32" s="20"/>
      <c r="E32" s="61"/>
      <c r="F32" s="20"/>
      <c r="G32" s="20"/>
      <c r="H32" s="20"/>
      <c r="I32" s="20"/>
      <c r="J32" s="21"/>
    </row>
    <row r="33" spans="2:19" ht="6" customHeight="1" x14ac:dyDescent="0.2">
      <c r="B33" s="2"/>
      <c r="C33" s="2"/>
      <c r="D33" s="2"/>
      <c r="E33" s="58"/>
      <c r="F33" s="2"/>
      <c r="G33" s="2"/>
      <c r="H33" s="2"/>
      <c r="I33" s="2"/>
      <c r="J33" s="2"/>
    </row>
    <row r="34" spans="2:19" ht="15" x14ac:dyDescent="0.25">
      <c r="B34" s="90" t="s">
        <v>28</v>
      </c>
      <c r="C34" s="91"/>
      <c r="D34" s="91"/>
      <c r="E34" s="91"/>
      <c r="F34" s="91"/>
      <c r="G34" s="91"/>
      <c r="H34" s="91"/>
      <c r="I34" s="91"/>
      <c r="J34" s="92"/>
    </row>
    <row r="35" spans="2:19" ht="6" customHeight="1" x14ac:dyDescent="0.2">
      <c r="B35" s="14"/>
      <c r="C35" s="4"/>
      <c r="D35" s="4"/>
      <c r="E35" s="29"/>
      <c r="F35" s="4"/>
      <c r="G35" s="4"/>
      <c r="H35" s="4"/>
      <c r="I35" s="4"/>
      <c r="J35" s="15"/>
    </row>
    <row r="36" spans="2:19" x14ac:dyDescent="0.2">
      <c r="B36" s="14" t="s">
        <v>29</v>
      </c>
      <c r="C36" s="22"/>
      <c r="D36" s="4"/>
      <c r="E36" s="29"/>
      <c r="F36" s="4"/>
      <c r="G36" s="4"/>
      <c r="H36" s="4"/>
      <c r="I36" s="4"/>
      <c r="J36" s="15"/>
    </row>
    <row r="37" spans="2:19" ht="6" customHeight="1" x14ac:dyDescent="0.2">
      <c r="B37" s="14"/>
      <c r="C37" s="4"/>
      <c r="D37" s="4"/>
      <c r="E37" s="29"/>
      <c r="F37" s="4"/>
      <c r="G37" s="4"/>
      <c r="H37" s="4"/>
      <c r="I37" s="4"/>
      <c r="J37" s="15"/>
    </row>
    <row r="38" spans="2:19" x14ac:dyDescent="0.2">
      <c r="B38" s="14" t="s">
        <v>122</v>
      </c>
      <c r="C38" s="22"/>
      <c r="D38" s="77" t="s">
        <v>123</v>
      </c>
      <c r="E38" s="77"/>
      <c r="F38" s="77"/>
      <c r="G38" s="77"/>
      <c r="H38" s="77"/>
      <c r="I38" s="77"/>
      <c r="J38" s="15"/>
    </row>
    <row r="39" spans="2:19" ht="6" customHeight="1" x14ac:dyDescent="0.2">
      <c r="B39" s="14"/>
      <c r="C39" s="4"/>
      <c r="D39" s="77"/>
      <c r="E39" s="77"/>
      <c r="F39" s="77"/>
      <c r="G39" s="77"/>
      <c r="H39" s="77"/>
      <c r="I39" s="77"/>
      <c r="J39" s="15"/>
    </row>
    <row r="40" spans="2:19" x14ac:dyDescent="0.2">
      <c r="B40" s="14" t="s">
        <v>30</v>
      </c>
      <c r="C40" s="18"/>
      <c r="D40" s="77"/>
      <c r="E40" s="77"/>
      <c r="F40" s="77"/>
      <c r="G40" s="77"/>
      <c r="H40" s="77"/>
      <c r="I40" s="77"/>
      <c r="J40" s="15"/>
    </row>
    <row r="41" spans="2:19" ht="15" x14ac:dyDescent="0.25">
      <c r="B41" s="23"/>
      <c r="C41" s="20"/>
      <c r="D41" s="20"/>
      <c r="E41" s="61"/>
      <c r="F41" s="20"/>
      <c r="G41" s="20"/>
      <c r="H41" s="20"/>
      <c r="I41" s="20"/>
      <c r="J41" s="21"/>
      <c r="L41" s="2" t="s">
        <v>82</v>
      </c>
    </row>
    <row r="42" spans="2:19" ht="15" x14ac:dyDescent="0.25">
      <c r="B42" s="24"/>
      <c r="C42" s="24"/>
      <c r="D42" s="24"/>
      <c r="E42" s="62"/>
      <c r="F42" s="24"/>
      <c r="G42" s="24"/>
      <c r="H42" s="24"/>
      <c r="I42" s="24"/>
      <c r="J42" s="24"/>
      <c r="L42" s="2" t="s">
        <v>81</v>
      </c>
      <c r="M42" s="2" t="s">
        <v>73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</row>
    <row r="43" spans="2:19" ht="15" x14ac:dyDescent="0.25">
      <c r="B43" s="90" t="s">
        <v>27</v>
      </c>
      <c r="C43" s="91"/>
      <c r="D43" s="91"/>
      <c r="E43" s="91"/>
      <c r="F43" s="91"/>
      <c r="G43" s="91"/>
      <c r="H43" s="91"/>
      <c r="I43" s="91"/>
      <c r="J43" s="92"/>
      <c r="L43" s="2" t="str">
        <f>IF(OR(C25="Ruapehu",C25="Taupo"),"District","Non")</f>
        <v>Non</v>
      </c>
      <c r="M43" s="2" t="str">
        <f>IF(C21&lt;&gt;"",IF(C21="Secondary","Sec","Pri"),"")</f>
        <v/>
      </c>
      <c r="N43" s="2">
        <f>G64+G77</f>
        <v>0</v>
      </c>
      <c r="O43" s="2">
        <f>IF(M43="Pri",5,8)</f>
        <v>8</v>
      </c>
      <c r="P43" s="2">
        <f>ROUNDUP(N43/O43,0)</f>
        <v>0</v>
      </c>
      <c r="Q43" s="2">
        <f>IF(P43&gt;=G46,G46,P43)</f>
        <v>0</v>
      </c>
      <c r="R43" s="2">
        <f>IF(P43&gt;=G46+G47,IF(P43-Q43&gt;G47,G47,P43-Q43),0)</f>
        <v>0</v>
      </c>
      <c r="S43" s="2">
        <f>IF(P43&gt;=G46+G47+G48,IF(P43-Q43-R43&gt;G48,G48,P43-Q43-R43),0)</f>
        <v>0</v>
      </c>
    </row>
    <row r="44" spans="2:19" x14ac:dyDescent="0.2">
      <c r="B44" s="74" t="s">
        <v>37</v>
      </c>
      <c r="C44" s="75"/>
      <c r="D44" s="75"/>
      <c r="E44" s="75"/>
      <c r="F44" s="75"/>
      <c r="G44" s="75"/>
      <c r="H44" s="75"/>
      <c r="I44" s="75"/>
      <c r="J44" s="76"/>
    </row>
    <row r="45" spans="2:19" x14ac:dyDescent="0.2">
      <c r="B45" s="25" t="s">
        <v>35</v>
      </c>
      <c r="C45" s="4"/>
      <c r="D45" s="4"/>
      <c r="E45" s="29"/>
      <c r="F45" s="4"/>
      <c r="G45" s="19"/>
      <c r="H45" s="4"/>
      <c r="I45" s="4"/>
      <c r="J45" s="15"/>
      <c r="L45" s="2" t="s">
        <v>83</v>
      </c>
    </row>
    <row r="46" spans="2:19" x14ac:dyDescent="0.2">
      <c r="B46" s="14"/>
      <c r="C46" s="78" t="str">
        <f>IF(AND(C25&lt;&gt;"Ruapehu",C25&lt;&gt;"Taupo",C25&lt;&gt;""),"How many adults want a ski package (lift pass / rentals / lunch)","How many adults want a ski package (lift pass / rentals)")</f>
        <v>How many adults want a ski package (lift pass / rentals)</v>
      </c>
      <c r="D46" s="78"/>
      <c r="E46" s="53" t="str">
        <f>IFERROR(IF(AND(C21&lt;&gt;"",C25&lt;&gt;""),VLOOKUP(L46,#REF!,5,FALSE),""),"")</f>
        <v/>
      </c>
      <c r="F46" s="57" t="str">
        <f>IF(E46&lt;&gt;"","each","")</f>
        <v/>
      </c>
      <c r="G46" s="26"/>
      <c r="H46" s="27"/>
      <c r="I46" s="27"/>
      <c r="J46" s="15"/>
      <c r="K46" s="2" t="s">
        <v>74</v>
      </c>
      <c r="L46" s="2" t="str">
        <f>$L$43&amp;"-"&amp;$M$43&amp;"-"&amp;K46</f>
        <v>Non--Package</v>
      </c>
      <c r="M46" s="28" t="str">
        <f>IFERROR(IF(G46&gt;0,(G46-Q43)*VLOOKUP(L46,#REF!,5,FALSE),""),"")</f>
        <v/>
      </c>
    </row>
    <row r="47" spans="2:19" x14ac:dyDescent="0.2">
      <c r="B47" s="14"/>
      <c r="C47" s="78" t="str">
        <f>IF(AND(C25&lt;&gt;"Ruapehu",C25&lt;&gt;"Taupo",C25&lt;&gt;""),"How many adults want a snowboard package (lift pass / rentals / lunch)","How many adults want a snowboard package (lift pass / rentals)")</f>
        <v>How many adults want a snowboard package (lift pass / rentals)</v>
      </c>
      <c r="D47" s="78"/>
      <c r="E47" s="53" t="str">
        <f>IFERROR(IF(AND(C21&lt;&gt;"",C25&lt;&gt;""),VLOOKUP(L47,#REF!,5,FALSE),""),"")</f>
        <v/>
      </c>
      <c r="F47" s="57" t="str">
        <f>IF(E47&lt;&gt;"","each","")</f>
        <v/>
      </c>
      <c r="G47" s="26"/>
      <c r="H47" s="27"/>
      <c r="I47" s="27"/>
      <c r="J47" s="15"/>
      <c r="K47" s="2" t="s">
        <v>74</v>
      </c>
      <c r="L47" s="2" t="str">
        <f>$L$43&amp;"-"&amp;$M$43&amp;"-"&amp;K47</f>
        <v>Non--Package</v>
      </c>
      <c r="M47" s="28" t="str">
        <f>IFERROR(IF(G47&gt;0,(G47-R43)*VLOOKUP(L47,#REF!,5,FALSE),""),"")</f>
        <v/>
      </c>
    </row>
    <row r="48" spans="2:19" x14ac:dyDescent="0.2">
      <c r="B48" s="14"/>
      <c r="C48" s="4" t="s">
        <v>34</v>
      </c>
      <c r="D48" s="4"/>
      <c r="E48" s="53" t="str">
        <f>IFERROR(IF(AND(C21&lt;&gt;"",C25&lt;&gt;""),VLOOKUP(L48,#REF!,5,FALSE),""),"")</f>
        <v/>
      </c>
      <c r="F48" s="57" t="str">
        <f>IF(E48&lt;&gt;"","each","")</f>
        <v/>
      </c>
      <c r="G48" s="26"/>
      <c r="H48" s="27"/>
      <c r="I48" s="27"/>
      <c r="J48" s="15"/>
      <c r="K48" s="2" t="s">
        <v>84</v>
      </c>
      <c r="L48" s="2" t="str">
        <f>$L$43&amp;"-"&amp;$M$43&amp;"-"&amp;K48</f>
        <v>Non--Liftpass</v>
      </c>
      <c r="M48" s="28" t="str">
        <f>IFERROR(IF(G48&gt;0,(G48-S43)*VLOOKUP(L48,#REF!,5,FALSE),""),"")</f>
        <v/>
      </c>
    </row>
    <row r="49" spans="2:13" x14ac:dyDescent="0.2">
      <c r="B49" s="14"/>
      <c r="C49" s="69" t="s">
        <v>121</v>
      </c>
      <c r="D49" s="4"/>
      <c r="E49" s="53"/>
      <c r="F49" s="57"/>
      <c r="G49" s="27"/>
      <c r="H49" s="27"/>
      <c r="I49" s="27"/>
      <c r="J49" s="15"/>
      <c r="M49" s="28"/>
    </row>
    <row r="50" spans="2:13" ht="6" customHeight="1" x14ac:dyDescent="0.2">
      <c r="B50" s="14"/>
      <c r="C50" s="4"/>
      <c r="D50" s="4"/>
      <c r="E50" s="29"/>
      <c r="F50" s="4"/>
      <c r="G50" s="4"/>
      <c r="H50" s="4"/>
      <c r="I50" s="4"/>
      <c r="J50" s="15"/>
      <c r="M50" s="28"/>
    </row>
    <row r="51" spans="2:13" x14ac:dyDescent="0.2">
      <c r="B51" s="25" t="s">
        <v>36</v>
      </c>
      <c r="C51" s="4"/>
      <c r="D51" s="4"/>
      <c r="E51" s="29"/>
      <c r="F51" s="4"/>
      <c r="G51" s="4"/>
      <c r="H51" s="4"/>
      <c r="I51" s="4"/>
      <c r="J51" s="15"/>
      <c r="M51" s="28"/>
    </row>
    <row r="52" spans="2:13" x14ac:dyDescent="0.2">
      <c r="B52" s="14"/>
      <c r="C52" s="4" t="s">
        <v>78</v>
      </c>
      <c r="D52" s="4"/>
      <c r="E52" s="53" t="str">
        <f>IFERROR(IF(AND(C21&lt;&gt;"",C25&lt;&gt;""),VLOOKUP(L52,#REF!,5,FALSE),""),"")</f>
        <v/>
      </c>
      <c r="F52" s="57" t="str">
        <f>IF(E52&lt;&gt;"","each","")</f>
        <v/>
      </c>
      <c r="G52" s="26"/>
      <c r="H52" s="27"/>
      <c r="I52" s="27"/>
      <c r="J52" s="15"/>
      <c r="K52" s="2" t="s">
        <v>77</v>
      </c>
      <c r="L52" s="2" t="str">
        <f>$L$43&amp;"-"&amp;$M$43&amp;"-"&amp;K52</f>
        <v>Non--Clothing</v>
      </c>
      <c r="M52" s="28" t="str">
        <f>IFERROR(IF(G52&gt;0,G52*VLOOKUP(L52,#REF!,5,FALSE),""),"")</f>
        <v/>
      </c>
    </row>
    <row r="53" spans="2:13" x14ac:dyDescent="0.2">
      <c r="B53" s="14"/>
      <c r="C53" s="4" t="str">
        <f>IF(AND(C25&lt;&gt;"Ruapehu",C25&lt;&gt;"Taupo",C25&lt;&gt;""),"How many adults need lunch","")</f>
        <v/>
      </c>
      <c r="D53" s="4"/>
      <c r="E53" s="53" t="str">
        <f>IFERROR(IF(AND(C21&lt;&gt;"",C25&lt;&gt;""),VLOOKUP(L53,#REF!,5,FALSE),""),"")</f>
        <v/>
      </c>
      <c r="F53" s="57" t="str">
        <f>IF(E53&lt;&gt;"","each","")</f>
        <v/>
      </c>
      <c r="G53" s="70"/>
      <c r="H53" s="27"/>
      <c r="I53" s="27"/>
      <c r="J53" s="15"/>
      <c r="K53" s="2" t="s">
        <v>80</v>
      </c>
      <c r="L53" s="2" t="str">
        <f>$L$43&amp;"-"&amp;$M$43&amp;"-"&amp;K53</f>
        <v>Non--Lunch</v>
      </c>
      <c r="M53" s="28" t="str">
        <f>IFERROR(IF(AND(G53&gt;0,C53&lt;&gt;""),G53*VLOOKUP(L53,#REF!,5,FALSE),""),"")</f>
        <v/>
      </c>
    </row>
    <row r="54" spans="2:13" ht="6" customHeight="1" x14ac:dyDescent="0.2">
      <c r="B54" s="14"/>
      <c r="C54" s="4"/>
      <c r="D54" s="4"/>
      <c r="E54" s="29"/>
      <c r="F54" s="4"/>
      <c r="G54" s="4"/>
      <c r="H54" s="4"/>
      <c r="I54" s="4"/>
      <c r="J54" s="15"/>
      <c r="M54" s="28"/>
    </row>
    <row r="55" spans="2:13" x14ac:dyDescent="0.2">
      <c r="B55" s="14"/>
      <c r="C55" s="2"/>
      <c r="D55" s="29" t="s">
        <v>33</v>
      </c>
      <c r="E55" s="29"/>
      <c r="F55" s="29"/>
      <c r="G55" s="27">
        <f>SUM(G46:G48)</f>
        <v>0</v>
      </c>
      <c r="H55" s="27"/>
      <c r="I55" s="27"/>
      <c r="J55" s="15"/>
      <c r="M55" s="28"/>
    </row>
    <row r="56" spans="2:13" ht="6" customHeight="1" x14ac:dyDescent="0.2">
      <c r="B56" s="10"/>
      <c r="C56" s="20"/>
      <c r="D56" s="20"/>
      <c r="E56" s="61"/>
      <c r="F56" s="20"/>
      <c r="G56" s="20"/>
      <c r="H56" s="20"/>
      <c r="I56" s="20"/>
      <c r="J56" s="21"/>
      <c r="M56" s="28"/>
    </row>
    <row r="57" spans="2:13" x14ac:dyDescent="0.2">
      <c r="B57" s="2"/>
      <c r="C57" s="2"/>
      <c r="D57" s="2"/>
      <c r="E57" s="58"/>
      <c r="F57" s="2"/>
      <c r="G57" s="2"/>
      <c r="H57" s="2"/>
      <c r="I57" s="2"/>
      <c r="J57" s="2"/>
      <c r="M57" s="28"/>
    </row>
    <row r="58" spans="2:13" x14ac:dyDescent="0.2">
      <c r="B58" s="97" t="s">
        <v>38</v>
      </c>
      <c r="C58" s="98"/>
      <c r="D58" s="98"/>
      <c r="E58" s="98"/>
      <c r="F58" s="98"/>
      <c r="G58" s="98"/>
      <c r="H58" s="98"/>
      <c r="I58" s="98"/>
      <c r="J58" s="99"/>
      <c r="M58" s="28"/>
    </row>
    <row r="59" spans="2:13" ht="15" x14ac:dyDescent="0.25">
      <c r="B59" s="30" t="s">
        <v>44</v>
      </c>
      <c r="C59" s="31"/>
      <c r="D59" s="31"/>
      <c r="E59" s="63"/>
      <c r="F59" s="31"/>
      <c r="G59" s="32"/>
      <c r="H59" s="31"/>
      <c r="I59" s="31"/>
      <c r="J59" s="33"/>
      <c r="M59" s="28"/>
    </row>
    <row r="60" spans="2:13" x14ac:dyDescent="0.2">
      <c r="B60" s="14"/>
      <c r="C60" s="78" t="s">
        <v>45</v>
      </c>
      <c r="D60" s="78"/>
      <c r="E60" s="53" t="str">
        <f>IFERROR(IF(AND(C21&lt;&gt;"",C25&lt;&gt;""),VLOOKUP(L60,#REF!,5,FALSE),""),"")</f>
        <v/>
      </c>
      <c r="F60" s="57" t="str">
        <f>IF(E60&lt;&gt;"","each","")</f>
        <v/>
      </c>
      <c r="G60" s="26"/>
      <c r="H60" s="27"/>
      <c r="I60" s="27"/>
      <c r="J60" s="15"/>
      <c r="K60" s="2" t="s">
        <v>74</v>
      </c>
      <c r="L60" s="2" t="str">
        <f>$L$43&amp;"-"&amp;$M$43&amp;"-"&amp;K60</f>
        <v>Non--Package</v>
      </c>
      <c r="M60" s="28" t="str">
        <f>IFERROR(IF(G60&gt;0,G60*VLOOKUP(L60,#REF!,5,FALSE),""),"")</f>
        <v/>
      </c>
    </row>
    <row r="61" spans="2:13" x14ac:dyDescent="0.2">
      <c r="B61" s="14"/>
      <c r="C61" s="4" t="s">
        <v>46</v>
      </c>
      <c r="D61" s="4"/>
      <c r="E61" s="53" t="str">
        <f>IFERROR(IF(AND(C21&lt;&gt;"",C25&lt;&gt;""),VLOOKUP(L61,#REF!,5,FALSE),""),"")</f>
        <v/>
      </c>
      <c r="F61" s="57" t="str">
        <f>IF(E61&lt;&gt;"","each","")</f>
        <v/>
      </c>
      <c r="G61" s="26"/>
      <c r="H61" s="27"/>
      <c r="I61" s="27"/>
      <c r="J61" s="15"/>
      <c r="K61" s="2" t="s">
        <v>75</v>
      </c>
      <c r="L61" s="2" t="str">
        <f>$L$43&amp;"-"&amp;$M$43&amp;"-"&amp;K61</f>
        <v>Non--RentLesson</v>
      </c>
      <c r="M61" s="28" t="str">
        <f>IFERROR(IF(G61&gt;0,G61*VLOOKUP(L61,#REF!,5,FALSE),""),"")</f>
        <v/>
      </c>
    </row>
    <row r="62" spans="2:13" x14ac:dyDescent="0.2">
      <c r="B62" s="14"/>
      <c r="C62" s="4" t="s">
        <v>47</v>
      </c>
      <c r="D62" s="4"/>
      <c r="E62" s="53" t="str">
        <f>IFERROR(IF(AND(C21&lt;&gt;"",C25&lt;&gt;""),VLOOKUP(L62,#REF!,5,FALSE),""),"")</f>
        <v/>
      </c>
      <c r="F62" s="57" t="str">
        <f>IF(E62&lt;&gt;"","each","")</f>
        <v/>
      </c>
      <c r="G62" s="26"/>
      <c r="H62" s="27"/>
      <c r="I62" s="27"/>
      <c r="J62" s="15"/>
      <c r="K62" s="2" t="s">
        <v>76</v>
      </c>
      <c r="L62" s="2" t="str">
        <f>$L$43&amp;"-"&amp;$M$43&amp;"-"&amp;K62</f>
        <v>Non--Lesson</v>
      </c>
      <c r="M62" s="28" t="str">
        <f>IFERROR(IF(G62&gt;0,G62*VLOOKUP(L62,#REF!,5,FALSE),""),"")</f>
        <v/>
      </c>
    </row>
    <row r="63" spans="2:13" ht="6" customHeight="1" x14ac:dyDescent="0.2">
      <c r="B63" s="14"/>
      <c r="C63" s="4"/>
      <c r="D63" s="4"/>
      <c r="E63" s="29"/>
      <c r="F63" s="4"/>
      <c r="G63" s="4"/>
      <c r="H63" s="4"/>
      <c r="I63" s="4"/>
      <c r="J63" s="15"/>
      <c r="M63" s="28"/>
    </row>
    <row r="64" spans="2:13" x14ac:dyDescent="0.2">
      <c r="B64" s="14"/>
      <c r="C64" s="4"/>
      <c r="D64" s="29" t="s">
        <v>58</v>
      </c>
      <c r="E64" s="29"/>
      <c r="F64" s="29"/>
      <c r="G64" s="27">
        <f>SUM(G60:G62)</f>
        <v>0</v>
      </c>
      <c r="H64" s="27"/>
      <c r="I64" s="27"/>
      <c r="J64" s="15"/>
      <c r="M64" s="28"/>
    </row>
    <row r="65" spans="2:13" ht="6" customHeight="1" x14ac:dyDescent="0.2">
      <c r="B65" s="14"/>
      <c r="C65" s="4"/>
      <c r="D65" s="4"/>
      <c r="E65" s="29"/>
      <c r="F65" s="4"/>
      <c r="G65" s="4"/>
      <c r="H65" s="4"/>
      <c r="I65" s="4"/>
      <c r="J65" s="15"/>
      <c r="M65" s="28"/>
    </row>
    <row r="66" spans="2:13" x14ac:dyDescent="0.2">
      <c r="B66" s="25" t="s">
        <v>64</v>
      </c>
      <c r="C66" s="4" t="s">
        <v>48</v>
      </c>
      <c r="D66" s="34" t="s">
        <v>52</v>
      </c>
      <c r="E66" s="53"/>
      <c r="F66" s="57"/>
      <c r="G66" s="26"/>
      <c r="H66" s="27"/>
      <c r="I66" s="27"/>
      <c r="J66" s="15"/>
      <c r="M66" s="28"/>
    </row>
    <row r="67" spans="2:13" x14ac:dyDescent="0.2">
      <c r="B67" s="14"/>
      <c r="C67" s="4" t="s">
        <v>49</v>
      </c>
      <c r="D67" s="34" t="s">
        <v>53</v>
      </c>
      <c r="E67" s="64"/>
      <c r="F67" s="34"/>
      <c r="G67" s="26"/>
      <c r="H67" s="27"/>
      <c r="I67" s="27"/>
      <c r="J67" s="15"/>
      <c r="M67" s="28"/>
    </row>
    <row r="68" spans="2:13" x14ac:dyDescent="0.2">
      <c r="B68" s="14"/>
      <c r="C68" s="4" t="s">
        <v>50</v>
      </c>
      <c r="D68" s="34" t="s">
        <v>54</v>
      </c>
      <c r="E68" s="64"/>
      <c r="F68" s="34"/>
      <c r="G68" s="26"/>
      <c r="H68" s="27"/>
      <c r="I68" s="27"/>
      <c r="J68" s="15"/>
      <c r="M68" s="28"/>
    </row>
    <row r="69" spans="2:13" x14ac:dyDescent="0.2">
      <c r="B69" s="14"/>
      <c r="C69" s="4" t="s">
        <v>51</v>
      </c>
      <c r="D69" s="34" t="s">
        <v>55</v>
      </c>
      <c r="E69" s="64"/>
      <c r="F69" s="34"/>
      <c r="G69" s="26"/>
      <c r="H69" s="27"/>
      <c r="I69" s="27"/>
      <c r="J69" s="15"/>
      <c r="M69" s="28"/>
    </row>
    <row r="70" spans="2:13" x14ac:dyDescent="0.2">
      <c r="B70" s="14"/>
      <c r="C70" s="4" t="s">
        <v>56</v>
      </c>
      <c r="D70" s="34" t="s">
        <v>57</v>
      </c>
      <c r="E70" s="64"/>
      <c r="F70" s="34"/>
      <c r="G70" s="26"/>
      <c r="H70" s="27"/>
      <c r="I70" s="27"/>
      <c r="J70" s="15"/>
      <c r="M70" s="28"/>
    </row>
    <row r="71" spans="2:13" x14ac:dyDescent="0.2">
      <c r="B71" s="10"/>
      <c r="C71" s="79" t="str">
        <f>IF(G64=0,"",IF(G64&gt;SUM(G66:G70),"You haven't allocated levels to all skiers yet",IF(G64=SUM(G66:G70),"","You've allocated more skiers to levels than you have in your group")))</f>
        <v/>
      </c>
      <c r="D71" s="79"/>
      <c r="E71" s="35"/>
      <c r="F71" s="35"/>
      <c r="G71" s="36"/>
      <c r="H71" s="20"/>
      <c r="I71" s="20"/>
      <c r="J71" s="21"/>
      <c r="M71" s="28"/>
    </row>
    <row r="72" spans="2:13" ht="15" x14ac:dyDescent="0.25">
      <c r="B72" s="30" t="s">
        <v>59</v>
      </c>
      <c r="C72" s="31"/>
      <c r="D72" s="31"/>
      <c r="E72" s="63"/>
      <c r="F72" s="31"/>
      <c r="G72" s="32"/>
      <c r="H72" s="31"/>
      <c r="I72" s="31"/>
      <c r="J72" s="33"/>
      <c r="M72" s="28"/>
    </row>
    <row r="73" spans="2:13" x14ac:dyDescent="0.2">
      <c r="B73" s="14"/>
      <c r="C73" s="78" t="s">
        <v>60</v>
      </c>
      <c r="D73" s="78"/>
      <c r="E73" s="53" t="str">
        <f>IFERROR(IF(AND(C21&lt;&gt;"",C25&lt;&gt;""),VLOOKUP(L73,#REF!,5,FALSE),""),"")</f>
        <v/>
      </c>
      <c r="F73" s="57" t="str">
        <f>IF(E73&lt;&gt;"","each","")</f>
        <v/>
      </c>
      <c r="G73" s="18"/>
      <c r="H73" s="4"/>
      <c r="I73" s="4"/>
      <c r="J73" s="15"/>
      <c r="K73" s="2" t="s">
        <v>74</v>
      </c>
      <c r="L73" s="2" t="str">
        <f>$L$43&amp;"-"&amp;$M$43&amp;"-"&amp;K73</f>
        <v>Non--Package</v>
      </c>
      <c r="M73" s="28" t="str">
        <f>IFERROR(IF(G73&gt;0,G73*VLOOKUP(L73,#REF!,5,FALSE),""),"")</f>
        <v/>
      </c>
    </row>
    <row r="74" spans="2:13" x14ac:dyDescent="0.2">
      <c r="B74" s="14"/>
      <c r="C74" s="4" t="s">
        <v>61</v>
      </c>
      <c r="D74" s="4"/>
      <c r="E74" s="53" t="str">
        <f>IFERROR(IF(AND(C21&lt;&gt;"",C25&lt;&gt;""),VLOOKUP(L74,#REF!,5,FALSE),""),"")</f>
        <v/>
      </c>
      <c r="F74" s="57" t="str">
        <f>IF(E74&lt;&gt;"","each","")</f>
        <v/>
      </c>
      <c r="G74" s="18"/>
      <c r="H74" s="4"/>
      <c r="I74" s="4"/>
      <c r="J74" s="15"/>
      <c r="K74" s="2" t="s">
        <v>75</v>
      </c>
      <c r="L74" s="2" t="str">
        <f>$L$43&amp;"-"&amp;$M$43&amp;"-"&amp;K74</f>
        <v>Non--RentLesson</v>
      </c>
      <c r="M74" s="28" t="str">
        <f>IFERROR(IF(G74&gt;0,G74*VLOOKUP(L74,#REF!,5,FALSE),""),"")</f>
        <v/>
      </c>
    </row>
    <row r="75" spans="2:13" x14ac:dyDescent="0.2">
      <c r="B75" s="14"/>
      <c r="C75" s="4" t="s">
        <v>62</v>
      </c>
      <c r="D75" s="4"/>
      <c r="E75" s="53" t="str">
        <f>IFERROR(IF(AND(C21&lt;&gt;"",C25&lt;&gt;""),VLOOKUP(L75,#REF!,5,FALSE),""),"")</f>
        <v/>
      </c>
      <c r="F75" s="57" t="str">
        <f>IF(E75&lt;&gt;"","each","")</f>
        <v/>
      </c>
      <c r="G75" s="18"/>
      <c r="H75" s="4"/>
      <c r="I75" s="4"/>
      <c r="J75" s="15"/>
      <c r="K75" s="2" t="s">
        <v>76</v>
      </c>
      <c r="L75" s="2" t="str">
        <f>$L$43&amp;"-"&amp;$M$43&amp;"-"&amp;K75</f>
        <v>Non--Lesson</v>
      </c>
      <c r="M75" s="28" t="str">
        <f>IFERROR(IF(G75&gt;0,G75*VLOOKUP(L75,#REF!,5,FALSE),""),"")</f>
        <v/>
      </c>
    </row>
    <row r="76" spans="2:13" ht="6" customHeight="1" x14ac:dyDescent="0.2">
      <c r="B76" s="14"/>
      <c r="C76" s="4"/>
      <c r="D76" s="4"/>
      <c r="E76" s="29"/>
      <c r="F76" s="4"/>
      <c r="G76" s="4"/>
      <c r="H76" s="4"/>
      <c r="I76" s="4"/>
      <c r="J76" s="15"/>
      <c r="M76" s="28"/>
    </row>
    <row r="77" spans="2:13" x14ac:dyDescent="0.2">
      <c r="B77" s="14"/>
      <c r="C77" s="4"/>
      <c r="D77" s="29" t="s">
        <v>63</v>
      </c>
      <c r="E77" s="29"/>
      <c r="F77" s="29"/>
      <c r="G77" s="27">
        <f>SUM(G73:G75)</f>
        <v>0</v>
      </c>
      <c r="H77" s="27"/>
      <c r="I77" s="27"/>
      <c r="J77" s="15"/>
      <c r="M77" s="28"/>
    </row>
    <row r="78" spans="2:13" ht="6" customHeight="1" x14ac:dyDescent="0.2">
      <c r="B78" s="14"/>
      <c r="C78" s="4"/>
      <c r="D78" s="4"/>
      <c r="E78" s="29"/>
      <c r="F78" s="4"/>
      <c r="G78" s="4"/>
      <c r="H78" s="4"/>
      <c r="I78" s="4"/>
      <c r="J78" s="15"/>
      <c r="M78" s="28"/>
    </row>
    <row r="79" spans="2:13" x14ac:dyDescent="0.2">
      <c r="B79" s="25" t="s">
        <v>64</v>
      </c>
      <c r="C79" s="4" t="s">
        <v>48</v>
      </c>
      <c r="D79" s="34" t="s">
        <v>52</v>
      </c>
      <c r="E79" s="64"/>
      <c r="F79" s="34"/>
      <c r="G79" s="26"/>
      <c r="H79" s="27"/>
      <c r="I79" s="27"/>
      <c r="J79" s="15"/>
      <c r="M79" s="28"/>
    </row>
    <row r="80" spans="2:13" x14ac:dyDescent="0.2">
      <c r="B80" s="14"/>
      <c r="C80" s="4" t="s">
        <v>49</v>
      </c>
      <c r="D80" s="34" t="s">
        <v>53</v>
      </c>
      <c r="E80" s="64"/>
      <c r="F80" s="34"/>
      <c r="G80" s="26"/>
      <c r="H80" s="27"/>
      <c r="I80" s="27"/>
      <c r="J80" s="15"/>
      <c r="M80" s="28"/>
    </row>
    <row r="81" spans="2:13" x14ac:dyDescent="0.2">
      <c r="B81" s="14"/>
      <c r="C81" s="4" t="s">
        <v>50</v>
      </c>
      <c r="D81" s="34" t="s">
        <v>54</v>
      </c>
      <c r="E81" s="64"/>
      <c r="F81" s="34"/>
      <c r="G81" s="26"/>
      <c r="H81" s="27"/>
      <c r="I81" s="27"/>
      <c r="J81" s="15"/>
      <c r="M81" s="28"/>
    </row>
    <row r="82" spans="2:13" x14ac:dyDescent="0.2">
      <c r="B82" s="14"/>
      <c r="C82" s="4" t="s">
        <v>51</v>
      </c>
      <c r="D82" s="34" t="s">
        <v>55</v>
      </c>
      <c r="E82" s="64"/>
      <c r="F82" s="34"/>
      <c r="G82" s="26"/>
      <c r="H82" s="27"/>
      <c r="I82" s="27"/>
      <c r="J82" s="15"/>
      <c r="M82" s="28"/>
    </row>
    <row r="83" spans="2:13" x14ac:dyDescent="0.2">
      <c r="B83" s="14"/>
      <c r="C83" s="4" t="s">
        <v>56</v>
      </c>
      <c r="D83" s="34" t="s">
        <v>57</v>
      </c>
      <c r="E83" s="64"/>
      <c r="F83" s="34"/>
      <c r="G83" s="26"/>
      <c r="H83" s="27"/>
      <c r="I83" s="27"/>
      <c r="J83" s="15"/>
      <c r="M83" s="28"/>
    </row>
    <row r="84" spans="2:13" x14ac:dyDescent="0.2">
      <c r="B84" s="10"/>
      <c r="C84" s="79" t="str">
        <f>IF(G75=0,"",IF(G75&gt;SUM(G79:G83),"You haven't allocated levels to all snowboarders yet",IF(G77=SUM(G79:G83),""&lt;"You've allocated more snowboarders to levels than you have in your group")))</f>
        <v/>
      </c>
      <c r="D84" s="79"/>
      <c r="E84" s="35"/>
      <c r="F84" s="35"/>
      <c r="G84" s="36"/>
      <c r="H84" s="20"/>
      <c r="I84" s="20"/>
      <c r="J84" s="21"/>
      <c r="M84" s="28"/>
    </row>
    <row r="85" spans="2:13" ht="15" x14ac:dyDescent="0.25">
      <c r="B85" s="37" t="s">
        <v>65</v>
      </c>
      <c r="C85" s="38" t="s">
        <v>66</v>
      </c>
      <c r="D85" s="4"/>
      <c r="E85" s="29"/>
      <c r="F85" s="4"/>
      <c r="G85" s="4"/>
      <c r="H85" s="4"/>
      <c r="I85" s="4"/>
      <c r="J85" s="15"/>
      <c r="M85" s="28"/>
    </row>
    <row r="86" spans="2:13" x14ac:dyDescent="0.2">
      <c r="B86" s="14"/>
      <c r="C86" s="4" t="s">
        <v>79</v>
      </c>
      <c r="D86" s="4"/>
      <c r="E86" s="53" t="str">
        <f>IFERROR(IF(AND(C21&lt;&gt;"",C25&lt;&gt;""),VLOOKUP(L86,#REF!,5,FALSE),""),"")</f>
        <v/>
      </c>
      <c r="F86" s="57"/>
      <c r="G86" s="18"/>
      <c r="H86" s="4"/>
      <c r="I86" s="4"/>
      <c r="J86" s="15"/>
      <c r="K86" s="2" t="s">
        <v>77</v>
      </c>
      <c r="L86" s="2" t="str">
        <f>$L$43&amp;"-"&amp;$M$43&amp;"-"&amp;K86</f>
        <v>Non--Clothing</v>
      </c>
      <c r="M86" s="28" t="str">
        <f>IFERROR(IF(G86&gt;0,G86*VLOOKUP(L86,#REF!,5,FALSE),""),"")</f>
        <v/>
      </c>
    </row>
    <row r="87" spans="2:13" ht="15" customHeight="1" x14ac:dyDescent="0.2">
      <c r="B87" s="10"/>
      <c r="C87" s="20"/>
      <c r="D87" s="20"/>
      <c r="E87" s="61"/>
      <c r="F87" s="20"/>
      <c r="G87" s="20"/>
      <c r="H87" s="20"/>
      <c r="I87" s="20"/>
      <c r="J87" s="21"/>
      <c r="M87" s="28"/>
    </row>
    <row r="88" spans="2:13" ht="6" customHeight="1" x14ac:dyDescent="0.2">
      <c r="B88" s="39"/>
      <c r="C88" s="31"/>
      <c r="D88" s="31"/>
      <c r="E88" s="63"/>
      <c r="F88" s="31"/>
      <c r="G88" s="31"/>
      <c r="H88" s="31"/>
      <c r="I88" s="31"/>
      <c r="J88" s="33"/>
      <c r="M88" s="28"/>
    </row>
    <row r="89" spans="2:13" ht="15" customHeight="1" x14ac:dyDescent="0.25">
      <c r="B89" s="37" t="s">
        <v>111</v>
      </c>
      <c r="C89" s="4"/>
      <c r="D89" s="4"/>
      <c r="E89" s="29"/>
      <c r="F89" s="4"/>
      <c r="G89" s="4"/>
      <c r="H89" s="4"/>
      <c r="I89" s="4"/>
      <c r="J89" s="15"/>
      <c r="M89" s="28"/>
    </row>
    <row r="90" spans="2:13" ht="15" customHeight="1" x14ac:dyDescent="0.2">
      <c r="B90" s="14"/>
      <c r="C90" s="89" t="s">
        <v>112</v>
      </c>
      <c r="D90" s="89"/>
      <c r="E90" s="89"/>
      <c r="F90" s="89"/>
      <c r="G90" s="89"/>
      <c r="H90" s="4"/>
      <c r="I90" s="4"/>
      <c r="J90" s="15"/>
      <c r="M90" s="28"/>
    </row>
    <row r="91" spans="2:13" ht="15" customHeight="1" x14ac:dyDescent="0.2">
      <c r="B91" s="14"/>
      <c r="C91" s="89"/>
      <c r="D91" s="89"/>
      <c r="E91" s="89"/>
      <c r="F91" s="89"/>
      <c r="G91" s="89"/>
      <c r="H91" s="4"/>
      <c r="I91" s="4"/>
      <c r="J91" s="15"/>
      <c r="M91" s="28"/>
    </row>
    <row r="92" spans="2:13" ht="6" customHeight="1" x14ac:dyDescent="0.2">
      <c r="B92" s="14"/>
      <c r="C92" s="13"/>
      <c r="D92" s="13"/>
      <c r="E92" s="65"/>
      <c r="F92" s="40"/>
      <c r="G92" s="13"/>
      <c r="H92" s="4"/>
      <c r="I92" s="4"/>
      <c r="J92" s="15"/>
      <c r="M92" s="28"/>
    </row>
    <row r="93" spans="2:13" ht="15" customHeight="1" x14ac:dyDescent="0.2">
      <c r="B93" s="14"/>
      <c r="C93" s="89" t="s">
        <v>113</v>
      </c>
      <c r="D93" s="89"/>
      <c r="E93" s="53"/>
      <c r="F93" s="57"/>
      <c r="G93" s="71"/>
      <c r="H93" s="4"/>
      <c r="I93" s="4"/>
      <c r="J93" s="15"/>
      <c r="M93" s="28"/>
    </row>
    <row r="94" spans="2:13" ht="15" customHeight="1" x14ac:dyDescent="0.2">
      <c r="B94" s="14"/>
      <c r="C94" s="13" t="s">
        <v>117</v>
      </c>
      <c r="D94" s="13"/>
      <c r="E94" s="53" t="str">
        <f>IF(AND(G94&lt;&gt;"",G93&lt;&gt;""),IF(G93="2 hours for the price of one",VLOOKUP("Sledding-Adult-2hours",#REF!,5,FALSE),VLOOKUP("Sledding-Adult-2people",#REF!,5,FALSE)),"")</f>
        <v/>
      </c>
      <c r="F94" s="57" t="str">
        <f>IF(E94&lt;&gt;"","each","")</f>
        <v/>
      </c>
      <c r="G94" s="72"/>
      <c r="H94" s="4"/>
      <c r="I94" s="4"/>
      <c r="J94" s="15"/>
      <c r="L94" s="2" t="str">
        <f>IF(AND(G94&lt;&gt;"",G93&lt;&gt;""),IF(G93="2 hours for the price of one",VLOOKUP("Sledding-Adult-2hours",#REF!,5,FALSE)*G94,VLOOKUP("Sledding-Adult-2people",#REF!,5,FALSE)*G94),"")</f>
        <v/>
      </c>
      <c r="M94" s="28"/>
    </row>
    <row r="95" spans="2:13" ht="15" customHeight="1" x14ac:dyDescent="0.2">
      <c r="B95" s="14"/>
      <c r="C95" s="4" t="s">
        <v>118</v>
      </c>
      <c r="D95" s="4"/>
      <c r="E95" s="53" t="str">
        <f>IF(AND(G95&lt;&gt;"",G93&lt;&gt;""),IF(G93="2 hours for the price of one",VLOOKUP("Sledding-Youth-2hours",#REF!,5,FALSE),VLOOKUP("Sledding-Youth-2people",#REF!,5,FALSE)),"")</f>
        <v/>
      </c>
      <c r="F95" s="57" t="str">
        <f>IF(E95&lt;&gt;"","each","")</f>
        <v/>
      </c>
      <c r="G95" s="73"/>
      <c r="H95" s="4"/>
      <c r="I95" s="4"/>
      <c r="J95" s="15"/>
      <c r="L95" s="2" t="str">
        <f>IF(AND(G95&lt;&gt;"",G93&lt;&gt;""),IF(G93="2 hours for the price of one",VLOOKUP("Sledding-Youth-2hours",#REF!,5,FALSE)*G95,VLOOKUP("Sledding-Youth-2people",#REF!,5,FALSE)*G95),"")</f>
        <v/>
      </c>
      <c r="M95" s="28"/>
    </row>
    <row r="96" spans="2:13" ht="15" customHeight="1" x14ac:dyDescent="0.2">
      <c r="B96" s="10"/>
      <c r="C96" s="20"/>
      <c r="D96" s="20"/>
      <c r="E96" s="61"/>
      <c r="F96" s="20"/>
      <c r="G96" s="20"/>
      <c r="H96" s="20"/>
      <c r="I96" s="20"/>
      <c r="J96" s="21"/>
      <c r="M96" s="28"/>
    </row>
    <row r="97" spans="2:13" ht="6" customHeight="1" x14ac:dyDescent="0.2">
      <c r="B97" s="14"/>
      <c r="C97" s="4"/>
      <c r="D97" s="4"/>
      <c r="E97" s="29"/>
      <c r="F97" s="4"/>
      <c r="G97" s="4"/>
      <c r="H97" s="4"/>
      <c r="I97" s="4"/>
      <c r="J97" s="15"/>
      <c r="M97" s="28"/>
    </row>
    <row r="98" spans="2:13" ht="15.75" customHeight="1" x14ac:dyDescent="0.25">
      <c r="B98" s="37" t="s">
        <v>80</v>
      </c>
      <c r="C98" s="4"/>
      <c r="D98" s="4"/>
      <c r="E98" s="29"/>
      <c r="F98" s="4"/>
      <c r="H98" s="4"/>
      <c r="I98" s="4"/>
      <c r="J98" s="15"/>
      <c r="M98" s="28"/>
    </row>
    <row r="99" spans="2:13" x14ac:dyDescent="0.2">
      <c r="B99" s="14"/>
      <c r="C99" s="4" t="str">
        <f>IF(OR(C25="Ruapehu",C25="Taupo"),"Note that this lunch section does not apply to your visit","Note that all school group visits include a lunch option as a default")</f>
        <v>Note that all school group visits include a lunch option as a default</v>
      </c>
      <c r="D99" s="4"/>
      <c r="E99" s="29"/>
      <c r="F99" s="4"/>
      <c r="G99" s="4"/>
      <c r="H99" s="4"/>
      <c r="I99" s="4"/>
      <c r="J99" s="15"/>
      <c r="M99" s="28"/>
    </row>
    <row r="100" spans="2:13" x14ac:dyDescent="0.2">
      <c r="B100" s="14"/>
      <c r="C100" s="4"/>
      <c r="D100" s="4"/>
      <c r="E100" s="29"/>
      <c r="F100" s="4"/>
      <c r="G100" s="4"/>
      <c r="H100" s="4"/>
      <c r="I100" s="4"/>
      <c r="J100" s="15"/>
      <c r="M100" s="28"/>
    </row>
    <row r="101" spans="2:13" x14ac:dyDescent="0.2">
      <c r="B101" s="25" t="s">
        <v>106</v>
      </c>
      <c r="C101" s="4" t="s">
        <v>69</v>
      </c>
      <c r="D101" s="4"/>
      <c r="E101" s="29"/>
      <c r="F101" s="4"/>
      <c r="G101" s="18"/>
      <c r="H101" s="4"/>
      <c r="I101" s="4"/>
      <c r="J101" s="15"/>
      <c r="M101" s="28"/>
    </row>
    <row r="102" spans="2:13" x14ac:dyDescent="0.2">
      <c r="B102" s="14"/>
      <c r="C102" s="4" t="s">
        <v>70</v>
      </c>
      <c r="D102" s="4"/>
      <c r="E102" s="29"/>
      <c r="F102" s="4"/>
      <c r="G102" s="18"/>
      <c r="H102" s="4"/>
      <c r="I102" s="4"/>
      <c r="J102" s="15"/>
      <c r="M102" s="28"/>
    </row>
    <row r="103" spans="2:13" x14ac:dyDescent="0.2">
      <c r="B103" s="14"/>
      <c r="C103" s="4" t="s">
        <v>71</v>
      </c>
      <c r="D103" s="4"/>
      <c r="E103" s="29"/>
      <c r="F103" s="4"/>
      <c r="G103" s="18"/>
      <c r="H103" s="4"/>
      <c r="I103" s="4"/>
      <c r="J103" s="15"/>
      <c r="M103" s="28"/>
    </row>
    <row r="104" spans="2:13" x14ac:dyDescent="0.2">
      <c r="B104" s="14"/>
      <c r="C104" s="4"/>
      <c r="D104" s="4"/>
      <c r="E104" s="29"/>
      <c r="F104" s="4"/>
      <c r="G104" s="4"/>
      <c r="H104" s="4"/>
      <c r="I104" s="4"/>
      <c r="J104" s="15"/>
      <c r="M104" s="28"/>
    </row>
    <row r="105" spans="2:13" x14ac:dyDescent="0.2">
      <c r="B105" s="14"/>
      <c r="C105" s="41" t="s">
        <v>72</v>
      </c>
      <c r="D105" s="42"/>
      <c r="E105" s="66"/>
      <c r="F105" s="42"/>
      <c r="G105" s="42"/>
      <c r="H105" s="4"/>
      <c r="I105" s="4"/>
      <c r="J105" s="15"/>
      <c r="M105" s="28"/>
    </row>
    <row r="106" spans="2:13" x14ac:dyDescent="0.2">
      <c r="B106" s="14"/>
      <c r="C106" s="93"/>
      <c r="D106" s="93"/>
      <c r="E106" s="93"/>
      <c r="F106" s="93"/>
      <c r="G106" s="93"/>
      <c r="H106" s="43"/>
      <c r="I106" s="43"/>
      <c r="J106" s="15"/>
      <c r="M106" s="28"/>
    </row>
    <row r="107" spans="2:13" x14ac:dyDescent="0.2">
      <c r="B107" s="14"/>
      <c r="C107" s="93"/>
      <c r="D107" s="93"/>
      <c r="E107" s="93"/>
      <c r="F107" s="93"/>
      <c r="G107" s="93"/>
      <c r="H107" s="43"/>
      <c r="I107" s="43"/>
      <c r="J107" s="15"/>
      <c r="M107" s="28"/>
    </row>
    <row r="108" spans="2:13" x14ac:dyDescent="0.2">
      <c r="B108" s="14"/>
      <c r="C108" s="93"/>
      <c r="D108" s="93"/>
      <c r="E108" s="93"/>
      <c r="F108" s="93"/>
      <c r="G108" s="93"/>
      <c r="H108" s="43"/>
      <c r="I108" s="43"/>
      <c r="J108" s="15"/>
      <c r="M108" s="28"/>
    </row>
    <row r="109" spans="2:13" x14ac:dyDescent="0.2">
      <c r="B109" s="14"/>
      <c r="C109" s="93"/>
      <c r="D109" s="93"/>
      <c r="E109" s="93"/>
      <c r="F109" s="93"/>
      <c r="G109" s="93"/>
      <c r="H109" s="43"/>
      <c r="I109" s="43"/>
      <c r="J109" s="15"/>
      <c r="M109" s="28"/>
    </row>
    <row r="110" spans="2:13" ht="6" customHeight="1" x14ac:dyDescent="0.2">
      <c r="B110" s="10"/>
      <c r="C110" s="20"/>
      <c r="D110" s="20"/>
      <c r="E110" s="61"/>
      <c r="F110" s="20"/>
      <c r="G110" s="20"/>
      <c r="H110" s="20"/>
      <c r="I110" s="20"/>
      <c r="J110" s="21"/>
    </row>
    <row r="111" spans="2:13" x14ac:dyDescent="0.2">
      <c r="B111" s="2"/>
      <c r="C111" s="2"/>
      <c r="D111" s="2"/>
      <c r="E111" s="58"/>
      <c r="F111" s="2"/>
      <c r="G111" s="2"/>
      <c r="H111" s="2"/>
      <c r="I111" s="2"/>
      <c r="J111" s="2"/>
    </row>
    <row r="112" spans="2:13" ht="18" x14ac:dyDescent="0.25">
      <c r="B112" s="44" t="str">
        <f>IF(AND(C36&lt;&gt;"",C40&lt;&gt;"",C19&lt;&gt;""),"Quote for a visit on "&amp;DAY(C36)&amp;" "&amp;TEXT(C36,"mmm")&amp;" "&amp;YEAR(C36)&amp;" to "&amp;C40&amp;" for "&amp;C19,"")</f>
        <v/>
      </c>
      <c r="C112" s="31"/>
      <c r="D112" s="31"/>
      <c r="E112" s="63"/>
      <c r="F112" s="31"/>
      <c r="G112" s="31"/>
      <c r="H112" s="31"/>
      <c r="I112" s="31"/>
      <c r="J112" s="33"/>
    </row>
    <row r="113" spans="2:10" x14ac:dyDescent="0.2">
      <c r="B113" s="80" t="s">
        <v>125</v>
      </c>
      <c r="C113" s="81"/>
      <c r="D113" s="45"/>
      <c r="E113" s="29"/>
      <c r="F113" s="4"/>
      <c r="G113" s="4"/>
      <c r="H113" s="4"/>
      <c r="I113" s="4"/>
      <c r="J113" s="15"/>
    </row>
    <row r="114" spans="2:10" ht="18.75" customHeight="1" x14ac:dyDescent="0.2">
      <c r="B114" s="80"/>
      <c r="C114" s="81"/>
      <c r="D114" s="4"/>
      <c r="E114" s="29"/>
      <c r="F114" s="4"/>
      <c r="G114" s="4"/>
      <c r="H114" s="4"/>
      <c r="I114" s="4"/>
      <c r="J114" s="15"/>
    </row>
    <row r="115" spans="2:10" ht="15" hidden="1" x14ac:dyDescent="0.25">
      <c r="B115" s="46"/>
      <c r="C115" s="47" t="s">
        <v>100</v>
      </c>
      <c r="D115" s="47" t="s">
        <v>101</v>
      </c>
      <c r="E115" s="62"/>
      <c r="F115" s="55"/>
      <c r="G115" s="4"/>
      <c r="H115" s="4"/>
      <c r="I115" s="4"/>
      <c r="J115" s="15"/>
    </row>
    <row r="116" spans="2:10" hidden="1" x14ac:dyDescent="0.2">
      <c r="B116" s="46" t="s">
        <v>91</v>
      </c>
      <c r="C116" s="48" t="str">
        <f>IF(D113&lt;&gt;"",G55,"")</f>
        <v/>
      </c>
      <c r="D116" s="49" t="str">
        <f>IF(D113&lt;&gt;"",SUM(M46:M53),"")</f>
        <v/>
      </c>
      <c r="E116" s="53"/>
      <c r="F116" s="52"/>
      <c r="G116" s="4"/>
      <c r="H116" s="4"/>
      <c r="I116" s="4"/>
      <c r="J116" s="15"/>
    </row>
    <row r="117" spans="2:10" hidden="1" x14ac:dyDescent="0.2">
      <c r="B117" s="46" t="s">
        <v>92</v>
      </c>
      <c r="C117" s="46" t="str">
        <f>IF(D113&lt;&gt;"",G64,"")</f>
        <v/>
      </c>
      <c r="D117" s="49" t="str">
        <f>IF(D113&lt;&gt;"",SUM(M60:M62),"")</f>
        <v/>
      </c>
      <c r="E117" s="53"/>
      <c r="F117" s="52"/>
      <c r="G117" s="4"/>
      <c r="H117" s="4"/>
      <c r="I117" s="4"/>
      <c r="J117" s="15"/>
    </row>
    <row r="118" spans="2:10" hidden="1" x14ac:dyDescent="0.2">
      <c r="B118" s="46" t="s">
        <v>93</v>
      </c>
      <c r="C118" s="46" t="str">
        <f>IF(D113&lt;&gt;"",G77,"")</f>
        <v/>
      </c>
      <c r="D118" s="49" t="str">
        <f>IF(D113&lt;&gt;"",SUM(M73:M75),"")</f>
        <v/>
      </c>
      <c r="E118" s="53"/>
      <c r="F118" s="52"/>
      <c r="G118" s="4"/>
      <c r="H118" s="4"/>
      <c r="I118" s="4"/>
      <c r="J118" s="15"/>
    </row>
    <row r="119" spans="2:10" hidden="1" x14ac:dyDescent="0.2">
      <c r="B119" s="46" t="s">
        <v>94</v>
      </c>
      <c r="C119" s="46" t="str">
        <f>IF(D113&lt;&gt;"",G86,"")</f>
        <v/>
      </c>
      <c r="D119" s="49" t="str">
        <f>IF(D113&lt;&gt;"",SUM(M86),"")</f>
        <v/>
      </c>
      <c r="E119" s="53"/>
      <c r="F119" s="52"/>
      <c r="G119" s="4"/>
      <c r="H119" s="4"/>
      <c r="I119" s="4"/>
      <c r="J119" s="15"/>
    </row>
    <row r="120" spans="2:10" hidden="1" x14ac:dyDescent="0.2">
      <c r="B120" s="46" t="s">
        <v>119</v>
      </c>
      <c r="C120" s="46" t="str">
        <f>IF(D113&lt;&gt;"",SUM(G94:G95),"")</f>
        <v/>
      </c>
      <c r="D120" s="49" t="str">
        <f>IF(D113&lt;&gt;"",SUM(L94:L95),"")</f>
        <v/>
      </c>
      <c r="E120" s="53"/>
      <c r="F120" s="52"/>
      <c r="G120" s="4"/>
      <c r="H120" s="4"/>
      <c r="I120" s="4"/>
      <c r="J120" s="15"/>
    </row>
    <row r="121" spans="2:10" ht="15" hidden="1" x14ac:dyDescent="0.25">
      <c r="B121" s="50" t="s">
        <v>95</v>
      </c>
      <c r="C121" s="100" t="str">
        <f>IF(D113&lt;&gt;"",SUM(C116:C119),"")</f>
        <v/>
      </c>
      <c r="D121" s="101" t="str">
        <f>IF(D113&lt;&gt;"",SUM(D116:D120),"")</f>
        <v/>
      </c>
      <c r="E121" s="67"/>
      <c r="F121" s="56"/>
      <c r="G121" s="4"/>
      <c r="H121" s="4"/>
      <c r="I121" s="4"/>
      <c r="J121" s="15"/>
    </row>
    <row r="122" spans="2:10" ht="30" customHeight="1" x14ac:dyDescent="0.25">
      <c r="B122" s="37"/>
      <c r="C122" s="102" t="s">
        <v>126</v>
      </c>
      <c r="D122" s="102"/>
      <c r="E122" s="67"/>
      <c r="F122" s="56"/>
      <c r="G122" s="4"/>
      <c r="H122" s="4"/>
      <c r="I122" s="4"/>
      <c r="J122" s="15"/>
    </row>
    <row r="123" spans="2:10" x14ac:dyDescent="0.2">
      <c r="B123" s="14"/>
      <c r="C123" s="4"/>
      <c r="D123" s="4"/>
      <c r="E123" s="29"/>
      <c r="F123" s="4"/>
      <c r="G123" s="4"/>
      <c r="H123" s="4"/>
      <c r="I123" s="4"/>
      <c r="J123" s="15"/>
    </row>
    <row r="124" spans="2:10" ht="15" x14ac:dyDescent="0.25">
      <c r="B124" s="51" t="s">
        <v>96</v>
      </c>
      <c r="C124" s="4"/>
      <c r="D124" s="4"/>
      <c r="E124" s="29"/>
      <c r="F124" s="4"/>
      <c r="G124" s="4"/>
      <c r="H124" s="4"/>
      <c r="I124" s="4"/>
      <c r="J124" s="15"/>
    </row>
    <row r="125" spans="2:10" x14ac:dyDescent="0.2">
      <c r="B125" s="14" t="s">
        <v>99</v>
      </c>
      <c r="C125" s="4"/>
      <c r="D125" s="52" t="str">
        <f>IF(D113&lt;&gt;"",D121*0,"")</f>
        <v/>
      </c>
      <c r="E125" s="53"/>
      <c r="F125" s="52"/>
      <c r="G125" s="4"/>
      <c r="H125" s="4"/>
      <c r="I125" s="4"/>
      <c r="J125" s="15"/>
    </row>
    <row r="126" spans="2:10" x14ac:dyDescent="0.2">
      <c r="B126" s="14" t="s">
        <v>98</v>
      </c>
      <c r="C126" s="4"/>
      <c r="D126" s="52" t="str">
        <f>IF(D113&lt;&gt;"",IF(D121*0.1&gt;50,50,D121*0.5),"")</f>
        <v/>
      </c>
      <c r="E126" s="53"/>
      <c r="F126" s="52"/>
      <c r="G126" s="4"/>
      <c r="H126" s="4"/>
      <c r="I126" s="4"/>
      <c r="J126" s="15"/>
    </row>
    <row r="127" spans="2:10" ht="15" x14ac:dyDescent="0.25">
      <c r="B127" s="14" t="s">
        <v>120</v>
      </c>
      <c r="C127" s="4"/>
      <c r="D127" s="53" t="str">
        <f>IF(D113&lt;&gt;"","up to "&amp;(DOLLAR(D121*0.2)),"")</f>
        <v/>
      </c>
      <c r="E127" s="53"/>
      <c r="F127" s="53"/>
      <c r="G127" s="4"/>
      <c r="H127" s="4"/>
      <c r="I127" s="4"/>
      <c r="J127" s="15"/>
    </row>
    <row r="128" spans="2:10" x14ac:dyDescent="0.2">
      <c r="B128" s="54" t="s">
        <v>97</v>
      </c>
      <c r="C128" s="4"/>
      <c r="D128" s="52"/>
      <c r="E128" s="53"/>
      <c r="F128" s="52"/>
      <c r="G128" s="4"/>
      <c r="H128" s="4"/>
      <c r="I128" s="4"/>
      <c r="J128" s="15"/>
    </row>
    <row r="129" spans="2:10" x14ac:dyDescent="0.2">
      <c r="B129" s="10"/>
      <c r="C129" s="20"/>
      <c r="D129" s="20"/>
      <c r="E129" s="61"/>
      <c r="F129" s="20"/>
      <c r="G129" s="20"/>
      <c r="H129" s="20"/>
      <c r="I129" s="20"/>
      <c r="J129" s="21"/>
    </row>
    <row r="130" spans="2:10" x14ac:dyDescent="0.2">
      <c r="B130" s="2"/>
      <c r="C130" s="2"/>
      <c r="D130" s="2"/>
      <c r="E130" s="58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58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58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58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58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58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58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58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58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58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58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58"/>
      <c r="F141" s="2"/>
      <c r="G141" s="2"/>
      <c r="H141" s="2"/>
      <c r="I141" s="2"/>
      <c r="J141" s="2"/>
    </row>
  </sheetData>
  <sheetProtection algorithmName="SHA-512" hashValue="PjLVyL5bZn32zrLzQlU9UYIas5/2NwCvJzrrfxwNKsl+bOCIRS2s+Pk/Lc/kw3s4PiLW7ZeQdsfkAKzJgkqr/w==" saltValue="wJxKtdlRNUbH0rJiqh64Qg==" spinCount="100000" sheet="1" objects="1" scenarios="1"/>
  <mergeCells count="25">
    <mergeCell ref="C122:D122"/>
    <mergeCell ref="C14:D14"/>
    <mergeCell ref="B113:C114"/>
    <mergeCell ref="B11:J11"/>
    <mergeCell ref="B13:J13"/>
    <mergeCell ref="C7:L7"/>
    <mergeCell ref="C90:G91"/>
    <mergeCell ref="C93:D93"/>
    <mergeCell ref="B10:J10"/>
    <mergeCell ref="B17:J17"/>
    <mergeCell ref="B34:J34"/>
    <mergeCell ref="B43:J43"/>
    <mergeCell ref="C106:G109"/>
    <mergeCell ref="C19:G19"/>
    <mergeCell ref="C23:G23"/>
    <mergeCell ref="C27:G27"/>
    <mergeCell ref="B58:J58"/>
    <mergeCell ref="C60:D60"/>
    <mergeCell ref="B44:J44"/>
    <mergeCell ref="D38:I40"/>
    <mergeCell ref="C73:D73"/>
    <mergeCell ref="C71:D71"/>
    <mergeCell ref="C84:D84"/>
    <mergeCell ref="C46:D46"/>
    <mergeCell ref="C47:D47"/>
  </mergeCells>
  <conditionalFormatting sqref="G53">
    <cfRule type="expression" dxfId="0" priority="1">
      <formula>IF($C$53&lt;&gt;"",TRUE,FALSE)</formula>
    </cfRule>
  </conditionalFormatting>
  <dataValidations count="5">
    <dataValidation type="list" allowBlank="1" showInputMessage="1" showErrorMessage="1" sqref="C25" xr:uid="{00000000-0002-0000-0000-000000000000}">
      <formula1>regions</formula1>
    </dataValidation>
    <dataValidation type="list" allowBlank="1" showInputMessage="1" showErrorMessage="1" sqref="C40" xr:uid="{00000000-0002-0000-0000-000001000000}">
      <formula1>skiarea</formula1>
    </dataValidation>
    <dataValidation type="list" allowBlank="1" showInputMessage="1" showErrorMessage="1" sqref="C21" xr:uid="{00000000-0002-0000-0000-000002000000}">
      <formula1>schooltype</formula1>
    </dataValidation>
    <dataValidation type="list" allowBlank="1" showInputMessage="1" showErrorMessage="1" sqref="D113:F113" xr:uid="{9D6E35FE-EAE0-454D-A09D-4EA8E041AA16}">
      <formula1>terms</formula1>
    </dataValidation>
    <dataValidation type="list" allowBlank="1" showInputMessage="1" showErrorMessage="1" sqref="G93" xr:uid="{5B52B6EB-FCA5-4A53-A7C2-6AFEE2ED52F7}">
      <formula1>sledding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K3" sqref="K3"/>
    </sheetView>
  </sheetViews>
  <sheetFormatPr defaultColWidth="8.85546875" defaultRowHeight="15" x14ac:dyDescent="0.25"/>
  <cols>
    <col min="3" max="3" width="25.140625" bestFit="1" customWidth="1"/>
  </cols>
  <sheetData>
    <row r="1" spans="1:11" x14ac:dyDescent="0.25">
      <c r="A1" s="1" t="s">
        <v>2</v>
      </c>
      <c r="C1" s="1" t="s">
        <v>30</v>
      </c>
      <c r="E1" s="1" t="s">
        <v>40</v>
      </c>
      <c r="G1" t="s">
        <v>104</v>
      </c>
      <c r="I1" t="s">
        <v>107</v>
      </c>
      <c r="K1" t="s">
        <v>114</v>
      </c>
    </row>
    <row r="2" spans="1:11" x14ac:dyDescent="0.25">
      <c r="A2" t="s">
        <v>3</v>
      </c>
      <c r="C2" t="s">
        <v>31</v>
      </c>
      <c r="E2" t="s">
        <v>41</v>
      </c>
      <c r="G2" t="s">
        <v>105</v>
      </c>
      <c r="I2" t="s">
        <v>108</v>
      </c>
      <c r="K2" t="s">
        <v>115</v>
      </c>
    </row>
    <row r="3" spans="1:11" x14ac:dyDescent="0.25">
      <c r="A3" t="s">
        <v>4</v>
      </c>
      <c r="C3" t="s">
        <v>32</v>
      </c>
      <c r="E3" t="s">
        <v>42</v>
      </c>
      <c r="I3" t="s">
        <v>109</v>
      </c>
      <c r="K3" t="s">
        <v>116</v>
      </c>
    </row>
    <row r="4" spans="1:11" x14ac:dyDescent="0.25">
      <c r="A4" t="s">
        <v>5</v>
      </c>
      <c r="E4" t="s">
        <v>43</v>
      </c>
    </row>
    <row r="5" spans="1:11" x14ac:dyDescent="0.25">
      <c r="A5" t="s">
        <v>6</v>
      </c>
    </row>
    <row r="6" spans="1:11" x14ac:dyDescent="0.25">
      <c r="A6" t="s">
        <v>7</v>
      </c>
    </row>
    <row r="7" spans="1:11" x14ac:dyDescent="0.25">
      <c r="A7" t="s">
        <v>8</v>
      </c>
    </row>
    <row r="8" spans="1:11" x14ac:dyDescent="0.25">
      <c r="A8" t="s">
        <v>9</v>
      </c>
    </row>
    <row r="9" spans="1:11" x14ac:dyDescent="0.25">
      <c r="A9" t="s">
        <v>10</v>
      </c>
    </row>
    <row r="10" spans="1:11" x14ac:dyDescent="0.25">
      <c r="A10" t="s">
        <v>11</v>
      </c>
    </row>
    <row r="11" spans="1:11" x14ac:dyDescent="0.25">
      <c r="A11" t="s">
        <v>12</v>
      </c>
    </row>
    <row r="12" spans="1:11" x14ac:dyDescent="0.25">
      <c r="A12" t="s">
        <v>13</v>
      </c>
    </row>
    <row r="13" spans="1:11" x14ac:dyDescent="0.25">
      <c r="A13" t="s">
        <v>14</v>
      </c>
    </row>
    <row r="14" spans="1:11" x14ac:dyDescent="0.25">
      <c r="A14" t="s">
        <v>15</v>
      </c>
    </row>
    <row r="15" spans="1:11" x14ac:dyDescent="0.25">
      <c r="A15" t="s">
        <v>16</v>
      </c>
    </row>
    <row r="16" spans="1:11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</sheetData>
  <sheetProtection algorithmName="SHA-512" hashValue="EAbodlsNi86YwrNLoj+7lfsbt3fAUXByN+t8ftsTZ0H3p0ZDKQH8QSrGSmY17qCMYodIc+FnkU79oT1zX+wDiw==" saltValue="ZIi3dlBec9kIeiT3ms9cb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Booking Sheet</vt:lpstr>
      <vt:lpstr>Parameters</vt:lpstr>
      <vt:lpstr>purchase</vt:lpstr>
      <vt:lpstr>purchaseorder</vt:lpstr>
      <vt:lpstr>regions</vt:lpstr>
      <vt:lpstr>schooltype</vt:lpstr>
      <vt:lpstr>skiarea</vt:lpstr>
      <vt:lpstr>sledding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 Jonsson</dc:creator>
  <cp:lastModifiedBy>Mat Jonsson</cp:lastModifiedBy>
  <dcterms:created xsi:type="dcterms:W3CDTF">2018-04-17T09:20:56Z</dcterms:created>
  <dcterms:modified xsi:type="dcterms:W3CDTF">2018-05-14T20:41:38Z</dcterms:modified>
</cp:coreProperties>
</file>