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reksall/Desktop/"/>
    </mc:Choice>
  </mc:AlternateContent>
  <xr:revisionPtr revIDLastSave="0" documentId="13_ncr:1_{799DD197-1759-E84C-98E0-5030226785FE}" xr6:coauthVersionLast="47" xr6:coauthVersionMax="47" xr10:uidLastSave="{00000000-0000-0000-0000-000000000000}"/>
  <bookViews>
    <workbookView xWindow="14340" yWindow="-21600" windowWidth="38400" windowHeight="21600" xr2:uid="{B5BAF8AD-CB54-1F40-A2E5-48046A0A05DE}"/>
  </bookViews>
  <sheets>
    <sheet name="Traditional 401k vs Roth" sheetId="4" r:id="rId1"/>
    <sheet name="Data" sheetId="3" state="hidden" r:id="rId2"/>
  </sheets>
  <definedNames>
    <definedName name="Labels">OFFSET('Traditional 401k vs Roth'!$X$9,,,MAX(COUNTIF('Traditional 401k vs Roth'!$AN$9:$AN$112, "&gt;0"), COUNTIF('Traditional 401k vs Roth'!$AC$9:$AC$111, "&gt;0"))+1)</definedName>
    <definedName name="RothValues">OFFSET('Traditional 401k vs Roth'!$AN$9,,, COUNTIF('Traditional 401k vs Roth'!$AN$9:$AN$112, "&gt;0")+1)</definedName>
    <definedName name="V401KValues">OFFSET('Traditional 401k vs Roth'!$AC$9,,, COUNTIF('Traditional 401k vs Roth'!$AC$9:$AC$111, "&gt;0")+1)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0" i="4" l="1"/>
  <c r="B149" i="4"/>
  <c r="B148" i="4"/>
  <c r="B147" i="4"/>
  <c r="B146" i="4"/>
  <c r="E56" i="4" l="1"/>
  <c r="I33" i="4"/>
  <c r="J33" i="4"/>
  <c r="I34" i="4"/>
  <c r="J34" i="4"/>
  <c r="I35" i="4"/>
  <c r="J35" i="4"/>
  <c r="I36" i="4"/>
  <c r="J36" i="4"/>
  <c r="I37" i="4"/>
  <c r="J37" i="4"/>
  <c r="I38" i="4"/>
  <c r="J38" i="4"/>
  <c r="I39" i="4"/>
  <c r="J39" i="4"/>
  <c r="H34" i="4"/>
  <c r="H35" i="4"/>
  <c r="H36" i="4"/>
  <c r="H37" i="4"/>
  <c r="H38" i="4"/>
  <c r="H39" i="4"/>
  <c r="H33" i="4"/>
  <c r="E15" i="4"/>
  <c r="E16" i="4" s="1"/>
  <c r="F13" i="4" s="1"/>
  <c r="E19" i="4" s="1"/>
  <c r="E22" i="4" l="1"/>
  <c r="B152" i="4"/>
  <c r="B151" i="4"/>
  <c r="AW6" i="4"/>
  <c r="AS9" i="4"/>
  <c r="AR9" i="4" s="1"/>
  <c r="E178" i="4"/>
  <c r="F178" i="4" s="1"/>
  <c r="E177" i="4"/>
  <c r="F177" i="4" s="1"/>
  <c r="E176" i="4"/>
  <c r="F176" i="4" s="1"/>
  <c r="E175" i="4"/>
  <c r="F175" i="4" s="1"/>
  <c r="E174" i="4"/>
  <c r="F174" i="4" s="1"/>
  <c r="E173" i="4"/>
  <c r="F173" i="4" s="1"/>
  <c r="E172" i="4"/>
  <c r="F172" i="4" s="1"/>
  <c r="E165" i="4"/>
  <c r="F165" i="4" s="1"/>
  <c r="E164" i="4"/>
  <c r="F164" i="4" s="1"/>
  <c r="E163" i="4"/>
  <c r="F163" i="4" s="1"/>
  <c r="E162" i="4"/>
  <c r="F162" i="4" s="1"/>
  <c r="E161" i="4"/>
  <c r="F161" i="4" s="1"/>
  <c r="E160" i="4"/>
  <c r="F160" i="4" s="1"/>
  <c r="E159" i="4"/>
  <c r="F159" i="4" s="1"/>
  <c r="E37" i="4"/>
  <c r="E134" i="4" l="1"/>
  <c r="F134" i="4" s="1"/>
  <c r="E38" i="4"/>
  <c r="E146" i="4" s="1"/>
  <c r="F146" i="4" s="1"/>
  <c r="AS10" i="4"/>
  <c r="AS11" i="4" s="1"/>
  <c r="AS12" i="4" s="1"/>
  <c r="E135" i="4"/>
  <c r="F135" i="4" s="1"/>
  <c r="E133" i="4"/>
  <c r="F133" i="4" s="1"/>
  <c r="E139" i="4"/>
  <c r="F139" i="4" s="1"/>
  <c r="AU9" i="4"/>
  <c r="AV9" i="4"/>
  <c r="H180" i="4"/>
  <c r="F167" i="4"/>
  <c r="H167" i="4"/>
  <c r="F180" i="4"/>
  <c r="E116" i="4"/>
  <c r="E112" i="4"/>
  <c r="E111" i="4"/>
  <c r="E110" i="4"/>
  <c r="E103" i="4"/>
  <c r="E99" i="4"/>
  <c r="E100" i="4" s="1"/>
  <c r="E101" i="4" s="1"/>
  <c r="E102" i="4" s="1"/>
  <c r="E98" i="4"/>
  <c r="E97" i="4"/>
  <c r="E152" i="4" l="1"/>
  <c r="F152" i="4" s="1"/>
  <c r="E113" i="4"/>
  <c r="E114" i="4" s="1"/>
  <c r="E115" i="4" s="1"/>
  <c r="AU11" i="4"/>
  <c r="AR11" i="4"/>
  <c r="AU10" i="4"/>
  <c r="AR10" i="4"/>
  <c r="E136" i="4"/>
  <c r="E137" i="4" s="1"/>
  <c r="E138" i="4" s="1"/>
  <c r="E147" i="4"/>
  <c r="F147" i="4" s="1"/>
  <c r="AR12" i="4"/>
  <c r="AS13" i="4"/>
  <c r="AU12" i="4"/>
  <c r="E90" i="4"/>
  <c r="K39" i="4" s="1"/>
  <c r="AB6" i="4"/>
  <c r="H20" i="4"/>
  <c r="BG6" i="4" s="1"/>
  <c r="BC9" i="4"/>
  <c r="BF9" i="4" s="1"/>
  <c r="AI9" i="4"/>
  <c r="AL9" i="4" s="1"/>
  <c r="X9" i="4"/>
  <c r="Z9" i="4" s="1"/>
  <c r="F136" i="4" l="1"/>
  <c r="E148" i="4"/>
  <c r="E149" i="4" s="1"/>
  <c r="AR13" i="4"/>
  <c r="AS14" i="4"/>
  <c r="AU13" i="4"/>
  <c r="BC10" i="4"/>
  <c r="BB10" i="4" s="1"/>
  <c r="E84" i="4"/>
  <c r="AH9" i="4"/>
  <c r="E72" i="4"/>
  <c r="F72" i="4" s="1"/>
  <c r="E71" i="4"/>
  <c r="F71" i="4" s="1"/>
  <c r="E77" i="4"/>
  <c r="F77" i="4" s="1"/>
  <c r="F137" i="4"/>
  <c r="F138" i="4"/>
  <c r="BB9" i="4"/>
  <c r="BE9" i="4"/>
  <c r="AA9" i="4"/>
  <c r="AD9" i="4" s="1"/>
  <c r="AI10" i="4"/>
  <c r="Q9" i="4"/>
  <c r="F110" i="4"/>
  <c r="F97" i="4"/>
  <c r="F111" i="4"/>
  <c r="F112" i="4"/>
  <c r="F113" i="4"/>
  <c r="F114" i="4"/>
  <c r="F98" i="4"/>
  <c r="F115" i="4"/>
  <c r="F116" i="4"/>
  <c r="F99" i="4"/>
  <c r="F100" i="4"/>
  <c r="F101" i="4"/>
  <c r="F102" i="4"/>
  <c r="F103" i="4"/>
  <c r="X10" i="4"/>
  <c r="Z10" i="4" s="1"/>
  <c r="F84" i="4" l="1"/>
  <c r="L33" i="4" s="1"/>
  <c r="K33" i="4"/>
  <c r="G112" i="4"/>
  <c r="H112" i="4" s="1"/>
  <c r="G111" i="4"/>
  <c r="H111" i="4" s="1"/>
  <c r="G116" i="4"/>
  <c r="H116" i="4" s="1"/>
  <c r="G110" i="4"/>
  <c r="H110" i="4" s="1"/>
  <c r="AT9" i="4"/>
  <c r="G97" i="4"/>
  <c r="H97" i="4" s="1"/>
  <c r="G99" i="4"/>
  <c r="H99" i="4" s="1"/>
  <c r="G98" i="4"/>
  <c r="H98" i="4" s="1"/>
  <c r="G103" i="4"/>
  <c r="H103" i="4" s="1"/>
  <c r="AB9" i="4"/>
  <c r="AC9" i="4" s="1"/>
  <c r="F148" i="4"/>
  <c r="E73" i="4"/>
  <c r="F73" i="4" s="1"/>
  <c r="G72" i="4"/>
  <c r="H72" i="4" s="1"/>
  <c r="G71" i="4"/>
  <c r="H71" i="4" s="1"/>
  <c r="G77" i="4"/>
  <c r="H77" i="4" s="1"/>
  <c r="E85" i="4"/>
  <c r="E150" i="4"/>
  <c r="F149" i="4"/>
  <c r="BE10" i="4"/>
  <c r="AR14" i="4"/>
  <c r="AU14" i="4"/>
  <c r="AS15" i="4"/>
  <c r="BC11" i="4"/>
  <c r="BE11" i="4" s="1"/>
  <c r="AH10" i="4"/>
  <c r="G90" i="4"/>
  <c r="G84" i="4"/>
  <c r="H141" i="4"/>
  <c r="E74" i="4"/>
  <c r="F141" i="4"/>
  <c r="BG9" i="4"/>
  <c r="BI9" i="4" s="1"/>
  <c r="AI11" i="4"/>
  <c r="F118" i="4"/>
  <c r="F105" i="4"/>
  <c r="X11" i="4"/>
  <c r="Z11" i="4" s="1"/>
  <c r="Q10" i="4"/>
  <c r="H84" i="4" l="1"/>
  <c r="N33" i="4" s="1"/>
  <c r="M33" i="4"/>
  <c r="H90" i="4"/>
  <c r="N39" i="4" s="1"/>
  <c r="M39" i="4"/>
  <c r="E86" i="4"/>
  <c r="K34" i="4"/>
  <c r="AE9" i="4"/>
  <c r="G113" i="4"/>
  <c r="G100" i="4"/>
  <c r="AW9" i="4"/>
  <c r="AY9" i="4" s="1"/>
  <c r="BC12" i="4"/>
  <c r="BE12" i="4" s="1"/>
  <c r="G73" i="4"/>
  <c r="H73" i="4" s="1"/>
  <c r="G74" i="4"/>
  <c r="G85" i="4"/>
  <c r="F85" i="4"/>
  <c r="L34" i="4" s="1"/>
  <c r="BB11" i="4"/>
  <c r="E151" i="4"/>
  <c r="F151" i="4" s="1"/>
  <c r="F150" i="4"/>
  <c r="AR15" i="4"/>
  <c r="AS16" i="4"/>
  <c r="AU15" i="4"/>
  <c r="AH11" i="4"/>
  <c r="BH9" i="4"/>
  <c r="BF10" i="4" s="1"/>
  <c r="E75" i="4"/>
  <c r="F74" i="4"/>
  <c r="F90" i="4"/>
  <c r="L39" i="4" s="1"/>
  <c r="AI12" i="4"/>
  <c r="X12" i="4"/>
  <c r="Z12" i="4" s="1"/>
  <c r="Q11" i="4"/>
  <c r="BB12" i="4" l="1"/>
  <c r="G86" i="4"/>
  <c r="M34" i="4"/>
  <c r="E87" i="4"/>
  <c r="K35" i="4"/>
  <c r="BC13" i="4"/>
  <c r="BE13" i="4" s="1"/>
  <c r="H113" i="4"/>
  <c r="G114" i="4"/>
  <c r="AX9" i="4"/>
  <c r="AT10" i="4" s="1"/>
  <c r="H100" i="4"/>
  <c r="G101" i="4"/>
  <c r="H74" i="4"/>
  <c r="G75" i="4"/>
  <c r="F154" i="4"/>
  <c r="F183" i="4" s="1"/>
  <c r="E34" i="4" s="1"/>
  <c r="E40" i="4" s="1"/>
  <c r="AR16" i="4"/>
  <c r="AS17" i="4"/>
  <c r="AU16" i="4"/>
  <c r="AA10" i="4"/>
  <c r="AD10" i="4"/>
  <c r="BD10" i="4"/>
  <c r="BG10" i="4" s="1"/>
  <c r="BI10" i="4" s="1"/>
  <c r="F75" i="4"/>
  <c r="E76" i="4"/>
  <c r="F76" i="4" s="1"/>
  <c r="H85" i="4"/>
  <c r="N34" i="4" s="1"/>
  <c r="Y10" i="4"/>
  <c r="AI13" i="4"/>
  <c r="AH12" i="4"/>
  <c r="F86" i="4"/>
  <c r="L35" i="4" s="1"/>
  <c r="Q12" i="4"/>
  <c r="X13" i="4"/>
  <c r="Z13" i="4" s="1"/>
  <c r="E35" i="4" l="1"/>
  <c r="BB13" i="4"/>
  <c r="AV10" i="4"/>
  <c r="AW10" i="4" s="1"/>
  <c r="E88" i="4"/>
  <c r="K36" i="4"/>
  <c r="G87" i="4"/>
  <c r="M35" i="4"/>
  <c r="BC14" i="4"/>
  <c r="BE14" i="4" s="1"/>
  <c r="H114" i="4"/>
  <c r="G115" i="4"/>
  <c r="H115" i="4" s="1"/>
  <c r="H101" i="4"/>
  <c r="G102" i="4"/>
  <c r="H102" i="4" s="1"/>
  <c r="AB10" i="4"/>
  <c r="AE10" i="4" s="1"/>
  <c r="G76" i="4"/>
  <c r="H76" i="4" s="1"/>
  <c r="H75" i="4"/>
  <c r="AR17" i="4"/>
  <c r="AU17" i="4"/>
  <c r="AS18" i="4"/>
  <c r="AH13" i="4"/>
  <c r="F79" i="4"/>
  <c r="BH10" i="4"/>
  <c r="BF11" i="4" s="1"/>
  <c r="H86" i="4"/>
  <c r="N35" i="4" s="1"/>
  <c r="AI14" i="4"/>
  <c r="F87" i="4"/>
  <c r="L36" i="4" s="1"/>
  <c r="X14" i="4"/>
  <c r="Z14" i="4" s="1"/>
  <c r="Q13" i="4"/>
  <c r="H105" i="4" l="1"/>
  <c r="H118" i="4"/>
  <c r="BB14" i="4"/>
  <c r="BC15" i="4"/>
  <c r="BE15" i="4" s="1"/>
  <c r="G88" i="4"/>
  <c r="M36" i="4"/>
  <c r="E89" i="4"/>
  <c r="K38" i="4" s="1"/>
  <c r="K37" i="4"/>
  <c r="AY10" i="4"/>
  <c r="AX10" i="4"/>
  <c r="H79" i="4"/>
  <c r="AC10" i="4"/>
  <c r="AD11" i="4" s="1"/>
  <c r="AR18" i="4"/>
  <c r="AU18" i="4"/>
  <c r="AS19" i="4"/>
  <c r="AH14" i="4"/>
  <c r="BD11" i="4"/>
  <c r="BG11" i="4" s="1"/>
  <c r="BI11" i="4" s="1"/>
  <c r="H87" i="4"/>
  <c r="N36" i="4" s="1"/>
  <c r="AI15" i="4"/>
  <c r="F88" i="4"/>
  <c r="L37" i="4" s="1"/>
  <c r="Q14" i="4"/>
  <c r="X15" i="4"/>
  <c r="Z15" i="4" s="1"/>
  <c r="BC16" i="4" l="1"/>
  <c r="BE16" i="4" s="1"/>
  <c r="F89" i="4"/>
  <c r="L38" i="4" s="1"/>
  <c r="L40" i="4" s="1"/>
  <c r="G89" i="4"/>
  <c r="M38" i="4" s="1"/>
  <c r="M37" i="4"/>
  <c r="BB15" i="4"/>
  <c r="AT11" i="4"/>
  <c r="AV11" i="4"/>
  <c r="Y11" i="4"/>
  <c r="AA11" i="4"/>
  <c r="AR19" i="4"/>
  <c r="AU19" i="4"/>
  <c r="AS20" i="4"/>
  <c r="AH15" i="4"/>
  <c r="H88" i="4"/>
  <c r="N37" i="4" s="1"/>
  <c r="F92" i="4"/>
  <c r="F121" i="4" s="1"/>
  <c r="E23" i="4" s="1"/>
  <c r="BC17" i="4"/>
  <c r="BE17" i="4" s="1"/>
  <c r="BB16" i="4"/>
  <c r="BH11" i="4"/>
  <c r="BF12" i="4" s="1"/>
  <c r="AI16" i="4"/>
  <c r="X16" i="4"/>
  <c r="Z16" i="4" s="1"/>
  <c r="Q15" i="4"/>
  <c r="AW11" i="4" l="1"/>
  <c r="AY11" i="4" s="1"/>
  <c r="H89" i="4"/>
  <c r="N38" i="4" s="1"/>
  <c r="N40" i="4" s="1"/>
  <c r="AB11" i="4"/>
  <c r="AE11" i="4" s="1"/>
  <c r="AR20" i="4"/>
  <c r="AS21" i="4"/>
  <c r="AU20" i="4"/>
  <c r="AH16" i="4"/>
  <c r="BD12" i="4"/>
  <c r="BC18" i="4"/>
  <c r="BE18" i="4" s="1"/>
  <c r="BB17" i="4"/>
  <c r="AI17" i="4"/>
  <c r="X17" i="4"/>
  <c r="Z17" i="4" s="1"/>
  <c r="Q16" i="4"/>
  <c r="H92" i="4" l="1"/>
  <c r="H121" i="4" s="1"/>
  <c r="E24" i="4" s="1"/>
  <c r="E25" i="4" s="1"/>
  <c r="AX11" i="4"/>
  <c r="AV12" i="4" s="1"/>
  <c r="AC11" i="4"/>
  <c r="AA12" i="4" s="1"/>
  <c r="AR21" i="4"/>
  <c r="AS22" i="4"/>
  <c r="AU21" i="4"/>
  <c r="AH17" i="4"/>
  <c r="BB18" i="4"/>
  <c r="BC19" i="4"/>
  <c r="BE19" i="4" s="1"/>
  <c r="BG12" i="4"/>
  <c r="BI12" i="4" s="1"/>
  <c r="AI18" i="4"/>
  <c r="Q17" i="4"/>
  <c r="X18" i="4"/>
  <c r="Z18" i="4" s="1"/>
  <c r="H123" i="4" l="1"/>
  <c r="AT12" i="4"/>
  <c r="AW12" i="4" s="1"/>
  <c r="AY12" i="4" s="1"/>
  <c r="E18" i="4"/>
  <c r="AK16" i="4" s="1"/>
  <c r="E27" i="4"/>
  <c r="E57" i="4" s="1"/>
  <c r="Y12" i="4"/>
  <c r="AB12" i="4" s="1"/>
  <c r="AE12" i="4" s="1"/>
  <c r="AD12" i="4"/>
  <c r="AR22" i="4"/>
  <c r="AU22" i="4"/>
  <c r="AS23" i="4"/>
  <c r="AH18" i="4"/>
  <c r="H154" i="4"/>
  <c r="H183" i="4" s="1"/>
  <c r="BH12" i="4"/>
  <c r="BF13" i="4" s="1"/>
  <c r="BC20" i="4"/>
  <c r="BE20" i="4" s="1"/>
  <c r="BB19" i="4"/>
  <c r="AI19" i="4"/>
  <c r="X19" i="4"/>
  <c r="Z19" i="4" s="1"/>
  <c r="AK19" i="4" l="1"/>
  <c r="AK10" i="4"/>
  <c r="AK14" i="4"/>
  <c r="AK11" i="4"/>
  <c r="AK18" i="4"/>
  <c r="AK9" i="4"/>
  <c r="AM9" i="4" s="1"/>
  <c r="AO9" i="4" s="1"/>
  <c r="AM6" i="4"/>
  <c r="AK15" i="4"/>
  <c r="AK17" i="4"/>
  <c r="AX12" i="4"/>
  <c r="AC12" i="4"/>
  <c r="AD13" i="4" s="1"/>
  <c r="AK13" i="4"/>
  <c r="AK12" i="4"/>
  <c r="AR23" i="4"/>
  <c r="AU23" i="4"/>
  <c r="AS24" i="4"/>
  <c r="AH19" i="4"/>
  <c r="BC21" i="4"/>
  <c r="BE21" i="4" s="1"/>
  <c r="BB20" i="4"/>
  <c r="BD13" i="4"/>
  <c r="AI20" i="4"/>
  <c r="AK20" i="4" s="1"/>
  <c r="X20" i="4"/>
  <c r="Z20" i="4" s="1"/>
  <c r="Q19" i="4"/>
  <c r="AV13" i="4" l="1"/>
  <c r="AT13" i="4"/>
  <c r="Y13" i="4"/>
  <c r="AA13" i="4"/>
  <c r="AR24" i="4"/>
  <c r="AS25" i="4"/>
  <c r="AU24" i="4"/>
  <c r="AN9" i="4"/>
  <c r="AL10" i="4" s="1"/>
  <c r="BB21" i="4"/>
  <c r="BC22" i="4"/>
  <c r="BE22" i="4" s="1"/>
  <c r="BG13" i="4"/>
  <c r="BI13" i="4" s="1"/>
  <c r="AH20" i="4"/>
  <c r="AI21" i="4"/>
  <c r="AK21" i="4" s="1"/>
  <c r="X21" i="4"/>
  <c r="Z21" i="4" s="1"/>
  <c r="Q20" i="4"/>
  <c r="AW13" i="4" l="1"/>
  <c r="AY13" i="4" s="1"/>
  <c r="AB13" i="4"/>
  <c r="AC13" i="4" s="1"/>
  <c r="AD14" i="4" s="1"/>
  <c r="AR25" i="4"/>
  <c r="AS26" i="4"/>
  <c r="AU25" i="4"/>
  <c r="AJ10" i="4"/>
  <c r="AH21" i="4"/>
  <c r="BH13" i="4"/>
  <c r="BF14" i="4" s="1"/>
  <c r="BC23" i="4"/>
  <c r="BE23" i="4" s="1"/>
  <c r="BB22" i="4"/>
  <c r="AI22" i="4"/>
  <c r="AK22" i="4" s="1"/>
  <c r="Q21" i="4"/>
  <c r="X22" i="4"/>
  <c r="Z22" i="4" s="1"/>
  <c r="AX13" i="4" l="1"/>
  <c r="AT14" i="4" s="1"/>
  <c r="AM10" i="4"/>
  <c r="AN10" i="4" s="1"/>
  <c r="AL11" i="4" s="1"/>
  <c r="AE13" i="4"/>
  <c r="Y14" i="4"/>
  <c r="AA14" i="4"/>
  <c r="AR26" i="4"/>
  <c r="AU26" i="4"/>
  <c r="AS27" i="4"/>
  <c r="BB23" i="4"/>
  <c r="BC24" i="4"/>
  <c r="BE24" i="4" s="1"/>
  <c r="BD14" i="4"/>
  <c r="AH22" i="4"/>
  <c r="AI23" i="4"/>
  <c r="AK23" i="4" s="1"/>
  <c r="Q22" i="4"/>
  <c r="X23" i="4"/>
  <c r="Z23" i="4" s="1"/>
  <c r="AV14" i="4" l="1"/>
  <c r="AW14" i="4" s="1"/>
  <c r="AB14" i="4"/>
  <c r="AC14" i="4" s="1"/>
  <c r="AD15" i="4" s="1"/>
  <c r="AO10" i="4"/>
  <c r="AR27" i="4"/>
  <c r="AS28" i="4"/>
  <c r="AU27" i="4"/>
  <c r="AJ11" i="4"/>
  <c r="AM11" i="4" s="1"/>
  <c r="AO11" i="4" s="1"/>
  <c r="BG14" i="4"/>
  <c r="BI14" i="4" s="1"/>
  <c r="BB24" i="4"/>
  <c r="BC25" i="4"/>
  <c r="BE25" i="4" s="1"/>
  <c r="AH23" i="4"/>
  <c r="AI24" i="4"/>
  <c r="AK24" i="4" s="1"/>
  <c r="X24" i="4"/>
  <c r="Z24" i="4" s="1"/>
  <c r="Q23" i="4"/>
  <c r="AY14" i="4" l="1"/>
  <c r="AX14" i="4"/>
  <c r="AT15" i="4" s="1"/>
  <c r="AA15" i="4"/>
  <c r="AE14" i="4"/>
  <c r="Y15" i="4"/>
  <c r="AR28" i="4"/>
  <c r="AS29" i="4"/>
  <c r="AU28" i="4"/>
  <c r="AN11" i="4"/>
  <c r="AL12" i="4" s="1"/>
  <c r="BC26" i="4"/>
  <c r="BE26" i="4" s="1"/>
  <c r="BB25" i="4"/>
  <c r="BH14" i="4"/>
  <c r="BF15" i="4" s="1"/>
  <c r="AH24" i="4"/>
  <c r="AI25" i="4"/>
  <c r="AK25" i="4" s="1"/>
  <c r="Q24" i="4"/>
  <c r="X25" i="4"/>
  <c r="Z25" i="4" s="1"/>
  <c r="AV15" i="4" l="1"/>
  <c r="AW15" i="4" s="1"/>
  <c r="AY15" i="4" s="1"/>
  <c r="AB15" i="4"/>
  <c r="AC15" i="4" s="1"/>
  <c r="AR29" i="4"/>
  <c r="AS30" i="4"/>
  <c r="AU29" i="4"/>
  <c r="AJ12" i="4"/>
  <c r="AM12" i="4" s="1"/>
  <c r="BD15" i="4"/>
  <c r="BC27" i="4"/>
  <c r="BE27" i="4" s="1"/>
  <c r="BB26" i="4"/>
  <c r="AH25" i="4"/>
  <c r="AI26" i="4"/>
  <c r="AK26" i="4" s="1"/>
  <c r="Q25" i="4"/>
  <c r="X26" i="4"/>
  <c r="Z26" i="4" s="1"/>
  <c r="AX15" i="4" l="1"/>
  <c r="AT16" i="4" s="1"/>
  <c r="AE15" i="4"/>
  <c r="AD16" i="4"/>
  <c r="Y16" i="4"/>
  <c r="AA16" i="4"/>
  <c r="AR30" i="4"/>
  <c r="AU30" i="4"/>
  <c r="AS31" i="4"/>
  <c r="AO12" i="4"/>
  <c r="AN12" i="4"/>
  <c r="AL13" i="4" s="1"/>
  <c r="BB27" i="4"/>
  <c r="BC28" i="4"/>
  <c r="BE28" i="4" s="1"/>
  <c r="BG15" i="4"/>
  <c r="BI15" i="4" s="1"/>
  <c r="AH26" i="4"/>
  <c r="AI27" i="4"/>
  <c r="AK27" i="4" s="1"/>
  <c r="Q26" i="4"/>
  <c r="X27" i="4"/>
  <c r="Z27" i="4" s="1"/>
  <c r="AV16" i="4" l="1"/>
  <c r="AW16" i="4" s="1"/>
  <c r="AY16" i="4" s="1"/>
  <c r="AB16" i="4"/>
  <c r="AR31" i="4"/>
  <c r="AU31" i="4"/>
  <c r="AS32" i="4"/>
  <c r="AJ13" i="4"/>
  <c r="BH15" i="4"/>
  <c r="BF16" i="4" s="1"/>
  <c r="BC29" i="4"/>
  <c r="BE29" i="4" s="1"/>
  <c r="BB28" i="4"/>
  <c r="AH27" i="4"/>
  <c r="AI28" i="4"/>
  <c r="AK28" i="4" s="1"/>
  <c r="X28" i="4"/>
  <c r="Z28" i="4" s="1"/>
  <c r="Q27" i="4"/>
  <c r="AX16" i="4" l="1"/>
  <c r="AV17" i="4" s="1"/>
  <c r="AC16" i="4"/>
  <c r="AE16" i="4"/>
  <c r="AH28" i="4"/>
  <c r="AR32" i="4"/>
  <c r="AS33" i="4"/>
  <c r="AU32" i="4"/>
  <c r="AM13" i="4"/>
  <c r="AN13" i="4" s="1"/>
  <c r="AL14" i="4" s="1"/>
  <c r="BB29" i="4"/>
  <c r="BC30" i="4"/>
  <c r="BE30" i="4" s="1"/>
  <c r="BD16" i="4"/>
  <c r="AI29" i="4"/>
  <c r="AK29" i="4" s="1"/>
  <c r="Q28" i="4"/>
  <c r="X29" i="4"/>
  <c r="Z29" i="4" s="1"/>
  <c r="AT17" i="4" l="1"/>
  <c r="AW17" i="4" s="1"/>
  <c r="AY17" i="4" s="1"/>
  <c r="AD17" i="4"/>
  <c r="Y17" i="4"/>
  <c r="AA17" i="4"/>
  <c r="AR33" i="4"/>
  <c r="AS34" i="4"/>
  <c r="AU33" i="4"/>
  <c r="AO13" i="4"/>
  <c r="AJ14" i="4"/>
  <c r="BG16" i="4"/>
  <c r="BI16" i="4" s="1"/>
  <c r="BB30" i="4"/>
  <c r="BC31" i="4"/>
  <c r="BE31" i="4" s="1"/>
  <c r="AH29" i="4"/>
  <c r="AI30" i="4"/>
  <c r="AK30" i="4" s="1"/>
  <c r="Q29" i="4"/>
  <c r="X30" i="4"/>
  <c r="Z30" i="4" s="1"/>
  <c r="AB17" i="4" l="1"/>
  <c r="AC17" i="4" s="1"/>
  <c r="AX17" i="4"/>
  <c r="AV18" i="4" s="1"/>
  <c r="AR34" i="4"/>
  <c r="AU34" i="4"/>
  <c r="AS35" i="4"/>
  <c r="AM14" i="4"/>
  <c r="BB31" i="4"/>
  <c r="BC32" i="4"/>
  <c r="BE32" i="4" s="1"/>
  <c r="BH16" i="4"/>
  <c r="BF17" i="4" s="1"/>
  <c r="AH30" i="4"/>
  <c r="AI31" i="4"/>
  <c r="AK31" i="4" s="1"/>
  <c r="Q30" i="4"/>
  <c r="X31" i="4"/>
  <c r="Z31" i="4" s="1"/>
  <c r="AE17" i="4" l="1"/>
  <c r="AT18" i="4"/>
  <c r="AW18" i="4" s="1"/>
  <c r="AY18" i="4" s="1"/>
  <c r="AD18" i="4"/>
  <c r="AA18" i="4"/>
  <c r="Y18" i="4"/>
  <c r="AR35" i="4"/>
  <c r="AS36" i="4"/>
  <c r="AU35" i="4"/>
  <c r="AO14" i="4"/>
  <c r="AN14" i="4"/>
  <c r="AL15" i="4" s="1"/>
  <c r="BB32" i="4"/>
  <c r="BC33" i="4"/>
  <c r="BE33" i="4" s="1"/>
  <c r="BD17" i="4"/>
  <c r="AH31" i="4"/>
  <c r="AI32" i="4"/>
  <c r="AK32" i="4" s="1"/>
  <c r="Q31" i="4"/>
  <c r="X32" i="4"/>
  <c r="Z32" i="4" s="1"/>
  <c r="AB18" i="4" l="1"/>
  <c r="AE18" i="4" s="1"/>
  <c r="AX18" i="4"/>
  <c r="AV19" i="4" s="1"/>
  <c r="AR36" i="4"/>
  <c r="AS37" i="4"/>
  <c r="AU36" i="4"/>
  <c r="AJ15" i="4"/>
  <c r="AM15" i="4" s="1"/>
  <c r="AO15" i="4" s="1"/>
  <c r="BB33" i="4"/>
  <c r="BC34" i="4"/>
  <c r="BE34" i="4" s="1"/>
  <c r="BG17" i="4"/>
  <c r="BI17" i="4" s="1"/>
  <c r="AH32" i="4"/>
  <c r="AI33" i="4"/>
  <c r="AK33" i="4" s="1"/>
  <c r="X33" i="4"/>
  <c r="Z33" i="4" s="1"/>
  <c r="Q32" i="4"/>
  <c r="AC18" i="4" l="1"/>
  <c r="AD19" i="4" s="1"/>
  <c r="AT19" i="4"/>
  <c r="AW19" i="4" s="1"/>
  <c r="AR37" i="4"/>
  <c r="AS38" i="4"/>
  <c r="AU37" i="4"/>
  <c r="AH33" i="4"/>
  <c r="AN15" i="4"/>
  <c r="AL16" i="4" s="1"/>
  <c r="BH17" i="4"/>
  <c r="BF18" i="4" s="1"/>
  <c r="BB34" i="4"/>
  <c r="BC35" i="4"/>
  <c r="BE35" i="4" s="1"/>
  <c r="AI34" i="4"/>
  <c r="AK34" i="4" s="1"/>
  <c r="X34" i="4"/>
  <c r="Z34" i="4" s="1"/>
  <c r="Q33" i="4"/>
  <c r="AA19" i="4" l="1"/>
  <c r="Y19" i="4"/>
  <c r="AY19" i="4"/>
  <c r="AX19" i="4"/>
  <c r="AR38" i="4"/>
  <c r="AU38" i="4"/>
  <c r="AS39" i="4"/>
  <c r="AJ16" i="4"/>
  <c r="AM16" i="4" s="1"/>
  <c r="AO16" i="4" s="1"/>
  <c r="AH34" i="4"/>
  <c r="BB35" i="4"/>
  <c r="BC36" i="4"/>
  <c r="BE36" i="4" s="1"/>
  <c r="BD18" i="4"/>
  <c r="AI35" i="4"/>
  <c r="AK35" i="4" s="1"/>
  <c r="X35" i="4"/>
  <c r="Z35" i="4" s="1"/>
  <c r="Q34" i="4"/>
  <c r="AB19" i="4" l="1"/>
  <c r="AE19" i="4" s="1"/>
  <c r="AT20" i="4"/>
  <c r="AV20" i="4"/>
  <c r="AR39" i="4"/>
  <c r="AU39" i="4"/>
  <c r="AS40" i="4"/>
  <c r="AN16" i="4"/>
  <c r="AL17" i="4" s="1"/>
  <c r="BG18" i="4"/>
  <c r="BI18" i="4" s="1"/>
  <c r="BB36" i="4"/>
  <c r="BC37" i="4"/>
  <c r="BE37" i="4" s="1"/>
  <c r="AH35" i="4"/>
  <c r="AI36" i="4"/>
  <c r="AK36" i="4" s="1"/>
  <c r="X36" i="4"/>
  <c r="Z36" i="4" s="1"/>
  <c r="Q35" i="4"/>
  <c r="AC19" i="4" l="1"/>
  <c r="AD20" i="4" s="1"/>
  <c r="AW20" i="4"/>
  <c r="AY20" i="4" s="1"/>
  <c r="AR40" i="4"/>
  <c r="AS41" i="4"/>
  <c r="AU40" i="4"/>
  <c r="AJ17" i="4"/>
  <c r="BB37" i="4"/>
  <c r="BC38" i="4"/>
  <c r="BE38" i="4" s="1"/>
  <c r="BH18" i="4"/>
  <c r="BF19" i="4" s="1"/>
  <c r="AH36" i="4"/>
  <c r="AI37" i="4"/>
  <c r="AK37" i="4" s="1"/>
  <c r="X37" i="4"/>
  <c r="Z37" i="4" s="1"/>
  <c r="Q36" i="4"/>
  <c r="Y20" i="4" l="1"/>
  <c r="AA20" i="4"/>
  <c r="AX20" i="4"/>
  <c r="AR41" i="4"/>
  <c r="AU41" i="4"/>
  <c r="AS42" i="4"/>
  <c r="AM17" i="4"/>
  <c r="AO17" i="4" s="1"/>
  <c r="BD19" i="4"/>
  <c r="BB38" i="4"/>
  <c r="BC39" i="4"/>
  <c r="BE39" i="4" s="1"/>
  <c r="AH37" i="4"/>
  <c r="AI38" i="4"/>
  <c r="AK38" i="4" s="1"/>
  <c r="X38" i="4"/>
  <c r="Z38" i="4" s="1"/>
  <c r="Q37" i="4"/>
  <c r="AB20" i="4" l="1"/>
  <c r="AE20" i="4" s="1"/>
  <c r="AT21" i="4"/>
  <c r="AV21" i="4"/>
  <c r="AR42" i="4"/>
  <c r="AU42" i="4"/>
  <c r="AS43" i="4"/>
  <c r="AN17" i="4"/>
  <c r="AL18" i="4" s="1"/>
  <c r="BB39" i="4"/>
  <c r="BC40" i="4"/>
  <c r="BE40" i="4" s="1"/>
  <c r="BG19" i="4"/>
  <c r="BI19" i="4" s="1"/>
  <c r="AH38" i="4"/>
  <c r="AI39" i="4"/>
  <c r="AK39" i="4" s="1"/>
  <c r="Q38" i="4"/>
  <c r="X39" i="4"/>
  <c r="Z39" i="4" s="1"/>
  <c r="AC20" i="4" l="1"/>
  <c r="AA21" i="4" s="1"/>
  <c r="AW21" i="4"/>
  <c r="AY21" i="4" s="1"/>
  <c r="AJ18" i="4"/>
  <c r="AM18" i="4" s="1"/>
  <c r="AO18" i="4" s="1"/>
  <c r="AR43" i="4"/>
  <c r="AU43" i="4"/>
  <c r="AS44" i="4"/>
  <c r="BB40" i="4"/>
  <c r="BC41" i="4"/>
  <c r="BE41" i="4" s="1"/>
  <c r="BH19" i="4"/>
  <c r="BF20" i="4" s="1"/>
  <c r="AH39" i="4"/>
  <c r="AI40" i="4"/>
  <c r="AK40" i="4" s="1"/>
  <c r="X40" i="4"/>
  <c r="Z40" i="4" s="1"/>
  <c r="Q39" i="4"/>
  <c r="AD21" i="4" l="1"/>
  <c r="Y21" i="4"/>
  <c r="AB21" i="4" s="1"/>
  <c r="AE21" i="4" s="1"/>
  <c r="AX21" i="4"/>
  <c r="AV22" i="4" s="1"/>
  <c r="AN18" i="4"/>
  <c r="AL19" i="4" s="1"/>
  <c r="AR44" i="4"/>
  <c r="AS45" i="4"/>
  <c r="AU44" i="4"/>
  <c r="BD20" i="4"/>
  <c r="BB41" i="4"/>
  <c r="BC42" i="4"/>
  <c r="BE42" i="4" s="1"/>
  <c r="AH40" i="4"/>
  <c r="AI41" i="4"/>
  <c r="AK41" i="4" s="1"/>
  <c r="Q40" i="4"/>
  <c r="X41" i="4"/>
  <c r="Z41" i="4" s="1"/>
  <c r="AC21" i="4" l="1"/>
  <c r="AA22" i="4" s="1"/>
  <c r="AT22" i="4"/>
  <c r="AW22" i="4" s="1"/>
  <c r="AY22" i="4" s="1"/>
  <c r="AJ19" i="4"/>
  <c r="AM19" i="4" s="1"/>
  <c r="AO19" i="4" s="1"/>
  <c r="AR45" i="4"/>
  <c r="AS46" i="4"/>
  <c r="AU45" i="4"/>
  <c r="BB42" i="4"/>
  <c r="BC43" i="4"/>
  <c r="BE43" i="4" s="1"/>
  <c r="BG20" i="4"/>
  <c r="BI20" i="4" s="1"/>
  <c r="AH41" i="4"/>
  <c r="AI42" i="4"/>
  <c r="AK42" i="4" s="1"/>
  <c r="Q41" i="4"/>
  <c r="X42" i="4"/>
  <c r="Z42" i="4" s="1"/>
  <c r="Y22" i="4" l="1"/>
  <c r="AB22" i="4" s="1"/>
  <c r="AD22" i="4"/>
  <c r="AX22" i="4"/>
  <c r="AV23" i="4" s="1"/>
  <c r="AN19" i="4"/>
  <c r="AR46" i="4"/>
  <c r="AU46" i="4"/>
  <c r="AS47" i="4"/>
  <c r="BH20" i="4"/>
  <c r="BF21" i="4" s="1"/>
  <c r="BB43" i="4"/>
  <c r="BC44" i="4"/>
  <c r="BE44" i="4" s="1"/>
  <c r="AH42" i="4"/>
  <c r="AI43" i="4"/>
  <c r="AK43" i="4" s="1"/>
  <c r="X43" i="4"/>
  <c r="Z43" i="4" s="1"/>
  <c r="Q42" i="4"/>
  <c r="AE22" i="4" l="1"/>
  <c r="AC22" i="4"/>
  <c r="AD23" i="4" s="1"/>
  <c r="AL20" i="4"/>
  <c r="AJ20" i="4"/>
  <c r="AT23" i="4"/>
  <c r="AW23" i="4" s="1"/>
  <c r="AH43" i="4"/>
  <c r="AR47" i="4"/>
  <c r="AS48" i="4"/>
  <c r="AU47" i="4"/>
  <c r="BB44" i="4"/>
  <c r="BC45" i="4"/>
  <c r="BE45" i="4" s="1"/>
  <c r="BD21" i="4"/>
  <c r="AI44" i="4"/>
  <c r="AK44" i="4" s="1"/>
  <c r="X44" i="4"/>
  <c r="Z44" i="4" s="1"/>
  <c r="Q43" i="4"/>
  <c r="AA23" i="4" l="1"/>
  <c r="Y23" i="4"/>
  <c r="AM20" i="4"/>
  <c r="AO20" i="4" s="1"/>
  <c r="AY23" i="4"/>
  <c r="AX23" i="4"/>
  <c r="AR48" i="4"/>
  <c r="AS49" i="4"/>
  <c r="AU48" i="4"/>
  <c r="AH44" i="4"/>
  <c r="BG21" i="4"/>
  <c r="BI21" i="4" s="1"/>
  <c r="BB45" i="4"/>
  <c r="BC46" i="4"/>
  <c r="BE46" i="4" s="1"/>
  <c r="AI45" i="4"/>
  <c r="AK45" i="4" s="1"/>
  <c r="Q44" i="4"/>
  <c r="X45" i="4"/>
  <c r="Z45" i="4" s="1"/>
  <c r="AN20" i="4" l="1"/>
  <c r="AL21" i="4" s="1"/>
  <c r="AB23" i="4"/>
  <c r="AE23" i="4" s="1"/>
  <c r="AV24" i="4"/>
  <c r="AT24" i="4"/>
  <c r="AC23" i="4"/>
  <c r="AA24" i="4" s="1"/>
  <c r="AR49" i="4"/>
  <c r="AU49" i="4"/>
  <c r="AS50" i="4"/>
  <c r="BB46" i="4"/>
  <c r="BC47" i="4"/>
  <c r="BE47" i="4" s="1"/>
  <c r="BH21" i="4"/>
  <c r="BF22" i="4" s="1"/>
  <c r="AH45" i="4"/>
  <c r="AI46" i="4"/>
  <c r="AK46" i="4" s="1"/>
  <c r="Q45" i="4"/>
  <c r="X46" i="4"/>
  <c r="Z46" i="4" s="1"/>
  <c r="AJ21" i="4" l="1"/>
  <c r="AM21" i="4" s="1"/>
  <c r="AO21" i="4" s="1"/>
  <c r="AW24" i="4"/>
  <c r="AY24" i="4" s="1"/>
  <c r="AD24" i="4"/>
  <c r="Y24" i="4"/>
  <c r="AB24" i="4" s="1"/>
  <c r="AR50" i="4"/>
  <c r="AU50" i="4"/>
  <c r="AS51" i="4"/>
  <c r="BD22" i="4"/>
  <c r="BB47" i="4"/>
  <c r="BC48" i="4"/>
  <c r="BE48" i="4" s="1"/>
  <c r="AH46" i="4"/>
  <c r="AI47" i="4"/>
  <c r="AK47" i="4" s="1"/>
  <c r="Q46" i="4"/>
  <c r="X47" i="4"/>
  <c r="Z47" i="4" s="1"/>
  <c r="AN21" i="4" l="1"/>
  <c r="AL22" i="4" s="1"/>
  <c r="AX24" i="4"/>
  <c r="AE24" i="4"/>
  <c r="AC24" i="4"/>
  <c r="Y25" i="4" s="1"/>
  <c r="AR51" i="4"/>
  <c r="AU51" i="4"/>
  <c r="AS52" i="4"/>
  <c r="BB48" i="4"/>
  <c r="BC49" i="4"/>
  <c r="BE49" i="4" s="1"/>
  <c r="BG22" i="4"/>
  <c r="BI22" i="4" s="1"/>
  <c r="AI48" i="4"/>
  <c r="AK48" i="4" s="1"/>
  <c r="AH47" i="4"/>
  <c r="Q47" i="4"/>
  <c r="X48" i="4"/>
  <c r="Z48" i="4" s="1"/>
  <c r="AJ22" i="4" l="1"/>
  <c r="AM22" i="4" s="1"/>
  <c r="AO22" i="4" s="1"/>
  <c r="AT25" i="4"/>
  <c r="AV25" i="4"/>
  <c r="AD25" i="4"/>
  <c r="AA25" i="4"/>
  <c r="AB25" i="4" s="1"/>
  <c r="AE25" i="4" s="1"/>
  <c r="AR52" i="4"/>
  <c r="AS53" i="4"/>
  <c r="AU52" i="4"/>
  <c r="AH48" i="4"/>
  <c r="BB49" i="4"/>
  <c r="BC50" i="4"/>
  <c r="BE50" i="4" s="1"/>
  <c r="BH22" i="4"/>
  <c r="BF23" i="4" s="1"/>
  <c r="AI49" i="4"/>
  <c r="AK49" i="4" s="1"/>
  <c r="X49" i="4"/>
  <c r="Z49" i="4" s="1"/>
  <c r="Q48" i="4"/>
  <c r="AN22" i="4" l="1"/>
  <c r="AL23" i="4" s="1"/>
  <c r="AW25" i="4"/>
  <c r="AY25" i="4" s="1"/>
  <c r="AC25" i="4"/>
  <c r="Y26" i="4" s="1"/>
  <c r="AR53" i="4"/>
  <c r="AS54" i="4"/>
  <c r="AU53" i="4"/>
  <c r="AH49" i="4"/>
  <c r="BD23" i="4"/>
  <c r="BC51" i="4"/>
  <c r="BE51" i="4" s="1"/>
  <c r="BB50" i="4"/>
  <c r="AI50" i="4"/>
  <c r="AK50" i="4" s="1"/>
  <c r="X50" i="4"/>
  <c r="Z50" i="4" s="1"/>
  <c r="Q49" i="4"/>
  <c r="AJ23" i="4" l="1"/>
  <c r="AM23" i="4" s="1"/>
  <c r="AO23" i="4" s="1"/>
  <c r="AX25" i="4"/>
  <c r="AV26" i="4" s="1"/>
  <c r="AA26" i="4"/>
  <c r="AB26" i="4" s="1"/>
  <c r="AC26" i="4" s="1"/>
  <c r="AD26" i="4"/>
  <c r="AN23" i="4"/>
  <c r="AR54" i="4"/>
  <c r="AU54" i="4"/>
  <c r="AS55" i="4"/>
  <c r="AH50" i="4"/>
  <c r="BC52" i="4"/>
  <c r="BE52" i="4" s="1"/>
  <c r="BB51" i="4"/>
  <c r="BG23" i="4"/>
  <c r="BI23" i="4" s="1"/>
  <c r="AI51" i="4"/>
  <c r="AK51" i="4" s="1"/>
  <c r="Q50" i="4"/>
  <c r="X51" i="4"/>
  <c r="Z51" i="4" s="1"/>
  <c r="AL24" i="4" l="1"/>
  <c r="AJ24" i="4"/>
  <c r="AT26" i="4"/>
  <c r="AW26" i="4" s="1"/>
  <c r="AY26" i="4" s="1"/>
  <c r="AD27" i="4"/>
  <c r="Y27" i="4"/>
  <c r="AA27" i="4"/>
  <c r="AE26" i="4"/>
  <c r="AR55" i="4"/>
  <c r="AS56" i="4"/>
  <c r="AU55" i="4"/>
  <c r="BH23" i="4"/>
  <c r="BF24" i="4" s="1"/>
  <c r="BC53" i="4"/>
  <c r="BE53" i="4" s="1"/>
  <c r="BB52" i="4"/>
  <c r="AH51" i="4"/>
  <c r="AI52" i="4"/>
  <c r="AK52" i="4" s="1"/>
  <c r="X52" i="4"/>
  <c r="Z52" i="4" s="1"/>
  <c r="Q51" i="4"/>
  <c r="AM24" i="4" l="1"/>
  <c r="AO24" i="4" s="1"/>
  <c r="AX26" i="4"/>
  <c r="AB27" i="4"/>
  <c r="AE27" i="4" s="1"/>
  <c r="AR56" i="4"/>
  <c r="AS57" i="4"/>
  <c r="AU56" i="4"/>
  <c r="AH52" i="4"/>
  <c r="BC54" i="4"/>
  <c r="BE54" i="4" s="1"/>
  <c r="BB53" i="4"/>
  <c r="BD24" i="4"/>
  <c r="AI53" i="4"/>
  <c r="AK53" i="4" s="1"/>
  <c r="Q52" i="4"/>
  <c r="X53" i="4"/>
  <c r="Z53" i="4" s="1"/>
  <c r="AN24" i="4" l="1"/>
  <c r="AL25" i="4" s="1"/>
  <c r="AC27" i="4"/>
  <c r="AD28" i="4" s="1"/>
  <c r="AV27" i="4"/>
  <c r="AT27" i="4"/>
  <c r="AR57" i="4"/>
  <c r="AU57" i="4"/>
  <c r="AS58" i="4"/>
  <c r="AH53" i="4"/>
  <c r="BG24" i="4"/>
  <c r="BI24" i="4" s="1"/>
  <c r="BC55" i="4"/>
  <c r="BE55" i="4" s="1"/>
  <c r="BB54" i="4"/>
  <c r="AI54" i="4"/>
  <c r="AK54" i="4" s="1"/>
  <c r="X54" i="4"/>
  <c r="Z54" i="4" s="1"/>
  <c r="Q53" i="4"/>
  <c r="AJ25" i="4" l="1"/>
  <c r="AM25" i="4" s="1"/>
  <c r="AO25" i="4" s="1"/>
  <c r="Y28" i="4"/>
  <c r="AA28" i="4"/>
  <c r="AW27" i="4"/>
  <c r="AY27" i="4" s="1"/>
  <c r="AR58" i="4"/>
  <c r="AU58" i="4"/>
  <c r="AS59" i="4"/>
  <c r="AH54" i="4"/>
  <c r="BC56" i="4"/>
  <c r="BE56" i="4" s="1"/>
  <c r="BB55" i="4"/>
  <c r="BH24" i="4"/>
  <c r="BF25" i="4" s="1"/>
  <c r="AI55" i="4"/>
  <c r="AK55" i="4" s="1"/>
  <c r="Q54" i="4"/>
  <c r="X55" i="4"/>
  <c r="Z55" i="4" s="1"/>
  <c r="AB28" i="4" l="1"/>
  <c r="AE28" i="4" s="1"/>
  <c r="AN25" i="4"/>
  <c r="AL26" i="4" s="1"/>
  <c r="AX27" i="4"/>
  <c r="AV28" i="4" s="1"/>
  <c r="AH55" i="4"/>
  <c r="AR59" i="4"/>
  <c r="AU59" i="4"/>
  <c r="AS60" i="4"/>
  <c r="BD25" i="4"/>
  <c r="BC57" i="4"/>
  <c r="BE57" i="4" s="1"/>
  <c r="BB56" i="4"/>
  <c r="AI56" i="4"/>
  <c r="AK56" i="4" s="1"/>
  <c r="X56" i="4"/>
  <c r="Z56" i="4" s="1"/>
  <c r="Q55" i="4"/>
  <c r="AC28" i="4" l="1"/>
  <c r="AA29" i="4" s="1"/>
  <c r="AJ26" i="4"/>
  <c r="AM26" i="4" s="1"/>
  <c r="AT28" i="4"/>
  <c r="AW28" i="4" s="1"/>
  <c r="AY28" i="4" s="1"/>
  <c r="Y29" i="4"/>
  <c r="AB29" i="4" s="1"/>
  <c r="AE29" i="4" s="1"/>
  <c r="AR60" i="4"/>
  <c r="AS61" i="4"/>
  <c r="AU60" i="4"/>
  <c r="AH56" i="4"/>
  <c r="BC58" i="4"/>
  <c r="BE58" i="4" s="1"/>
  <c r="BB57" i="4"/>
  <c r="BG25" i="4"/>
  <c r="BI25" i="4" s="1"/>
  <c r="AI57" i="4"/>
  <c r="AK57" i="4" s="1"/>
  <c r="X57" i="4"/>
  <c r="Z57" i="4" s="1"/>
  <c r="Q56" i="4"/>
  <c r="AD29" i="4" l="1"/>
  <c r="AO26" i="4"/>
  <c r="AN26" i="4"/>
  <c r="AL27" i="4" s="1"/>
  <c r="AX28" i="4"/>
  <c r="AV29" i="4" s="1"/>
  <c r="AH57" i="4"/>
  <c r="AC29" i="4"/>
  <c r="AR61" i="4"/>
  <c r="AS62" i="4"/>
  <c r="AU61" i="4"/>
  <c r="BC59" i="4"/>
  <c r="BE59" i="4" s="1"/>
  <c r="BB58" i="4"/>
  <c r="BH25" i="4"/>
  <c r="BF26" i="4" s="1"/>
  <c r="AI58" i="4"/>
  <c r="AK58" i="4" s="1"/>
  <c r="X58" i="4"/>
  <c r="Z58" i="4" s="1"/>
  <c r="Q57" i="4"/>
  <c r="AJ27" i="4" l="1"/>
  <c r="AM27" i="4"/>
  <c r="AO27" i="4" s="1"/>
  <c r="AT29" i="4"/>
  <c r="AW29" i="4" s="1"/>
  <c r="AY29" i="4" s="1"/>
  <c r="AA30" i="4"/>
  <c r="AD30" i="4"/>
  <c r="Y30" i="4"/>
  <c r="AR62" i="4"/>
  <c r="AU62" i="4"/>
  <c r="AS63" i="4"/>
  <c r="AH58" i="4"/>
  <c r="BD26" i="4"/>
  <c r="BC60" i="4"/>
  <c r="BE60" i="4" s="1"/>
  <c r="BB59" i="4"/>
  <c r="AI59" i="4"/>
  <c r="AK59" i="4" s="1"/>
  <c r="X59" i="4"/>
  <c r="Z59" i="4" s="1"/>
  <c r="Q58" i="4"/>
  <c r="AN27" i="4" l="1"/>
  <c r="AJ28" i="4" s="1"/>
  <c r="AX29" i="4"/>
  <c r="AV30" i="4" s="1"/>
  <c r="AB30" i="4"/>
  <c r="AE30" i="4" s="1"/>
  <c r="AR63" i="4"/>
  <c r="AS64" i="4"/>
  <c r="AU63" i="4"/>
  <c r="BC61" i="4"/>
  <c r="BE61" i="4" s="1"/>
  <c r="BB60" i="4"/>
  <c r="BG26" i="4"/>
  <c r="BI26" i="4" s="1"/>
  <c r="AH59" i="4"/>
  <c r="AI60" i="4"/>
  <c r="AK60" i="4" s="1"/>
  <c r="X60" i="4"/>
  <c r="Z60" i="4" s="1"/>
  <c r="Q59" i="4"/>
  <c r="AL28" i="4" l="1"/>
  <c r="AT30" i="4"/>
  <c r="AW30" i="4" s="1"/>
  <c r="AY30" i="4" s="1"/>
  <c r="AC30" i="4"/>
  <c r="AA31" i="4" s="1"/>
  <c r="AR64" i="4"/>
  <c r="AS65" i="4"/>
  <c r="AU64" i="4"/>
  <c r="AH60" i="4"/>
  <c r="BH26" i="4"/>
  <c r="BF27" i="4" s="1"/>
  <c r="BC62" i="4"/>
  <c r="BE62" i="4" s="1"/>
  <c r="BB61" i="4"/>
  <c r="AI61" i="4"/>
  <c r="AK61" i="4" s="1"/>
  <c r="AM28" i="4"/>
  <c r="AO28" i="4" s="1"/>
  <c r="Q60" i="4"/>
  <c r="X61" i="4"/>
  <c r="Z61" i="4" s="1"/>
  <c r="AX30" i="4" l="1"/>
  <c r="AV31" i="4" s="1"/>
  <c r="AD31" i="4"/>
  <c r="Y31" i="4"/>
  <c r="AB31" i="4" s="1"/>
  <c r="AC31" i="4" s="1"/>
  <c r="AR65" i="4"/>
  <c r="AU65" i="4"/>
  <c r="AS66" i="4"/>
  <c r="AH61" i="4"/>
  <c r="BC63" i="4"/>
  <c r="BE63" i="4" s="1"/>
  <c r="BB62" i="4"/>
  <c r="BD27" i="4"/>
  <c r="AI62" i="4"/>
  <c r="AK62" i="4" s="1"/>
  <c r="AN28" i="4"/>
  <c r="Q61" i="4"/>
  <c r="X62" i="4"/>
  <c r="Z62" i="4" s="1"/>
  <c r="AL29" i="4" l="1"/>
  <c r="AJ29" i="4"/>
  <c r="AT31" i="4"/>
  <c r="AW31" i="4" s="1"/>
  <c r="AY31" i="4" s="1"/>
  <c r="AH62" i="4"/>
  <c r="AE31" i="4"/>
  <c r="AD32" i="4"/>
  <c r="Y32" i="4"/>
  <c r="AA32" i="4"/>
  <c r="AR66" i="4"/>
  <c r="AU66" i="4"/>
  <c r="AS67" i="4"/>
  <c r="BG27" i="4"/>
  <c r="BI27" i="4" s="1"/>
  <c r="BC64" i="4"/>
  <c r="BE64" i="4" s="1"/>
  <c r="BB63" i="4"/>
  <c r="AI63" i="4"/>
  <c r="AK63" i="4" s="1"/>
  <c r="X63" i="4"/>
  <c r="Z63" i="4" s="1"/>
  <c r="Q62" i="4"/>
  <c r="AX31" i="4" l="1"/>
  <c r="AB32" i="4"/>
  <c r="AC32" i="4" s="1"/>
  <c r="AR67" i="4"/>
  <c r="AU67" i="4"/>
  <c r="AS68" i="4"/>
  <c r="AH63" i="4"/>
  <c r="BC65" i="4"/>
  <c r="BE65" i="4" s="1"/>
  <c r="BB64" i="4"/>
  <c r="BH27" i="4"/>
  <c r="BF28" i="4" s="1"/>
  <c r="AI64" i="4"/>
  <c r="AK64" i="4" s="1"/>
  <c r="AM29" i="4"/>
  <c r="AO29" i="4" s="1"/>
  <c r="X64" i="4"/>
  <c r="Z64" i="4" s="1"/>
  <c r="Q63" i="4"/>
  <c r="AV32" i="4" l="1"/>
  <c r="AT32" i="4"/>
  <c r="AE32" i="4"/>
  <c r="AD33" i="4"/>
  <c r="Y33" i="4"/>
  <c r="AA33" i="4"/>
  <c r="AR68" i="4"/>
  <c r="AS69" i="4"/>
  <c r="AU68" i="4"/>
  <c r="BD28" i="4"/>
  <c r="BC66" i="4"/>
  <c r="BE66" i="4" s="1"/>
  <c r="BB65" i="4"/>
  <c r="AH64" i="4"/>
  <c r="AI65" i="4"/>
  <c r="AK65" i="4" s="1"/>
  <c r="AN29" i="4"/>
  <c r="X65" i="4"/>
  <c r="Z65" i="4" s="1"/>
  <c r="Q64" i="4"/>
  <c r="AL30" i="4" l="1"/>
  <c r="AJ30" i="4"/>
  <c r="AW32" i="4"/>
  <c r="AY32" i="4" s="1"/>
  <c r="AB33" i="4"/>
  <c r="AE33" i="4" s="1"/>
  <c r="AR69" i="4"/>
  <c r="AS70" i="4"/>
  <c r="AU69" i="4"/>
  <c r="AH65" i="4"/>
  <c r="BC67" i="4"/>
  <c r="BE67" i="4" s="1"/>
  <c r="BB66" i="4"/>
  <c r="BG28" i="4"/>
  <c r="BI28" i="4" s="1"/>
  <c r="AI66" i="4"/>
  <c r="AK66" i="4" s="1"/>
  <c r="Q65" i="4"/>
  <c r="X66" i="4"/>
  <c r="Z66" i="4" s="1"/>
  <c r="AM30" i="4" l="1"/>
  <c r="AO30" i="4" s="1"/>
  <c r="AX32" i="4"/>
  <c r="AV33" i="4" s="1"/>
  <c r="AC33" i="4"/>
  <c r="AD34" i="4" s="1"/>
  <c r="AR70" i="4"/>
  <c r="AS71" i="4"/>
  <c r="AU70" i="4"/>
  <c r="AH66" i="4"/>
  <c r="BH28" i="4"/>
  <c r="BF29" i="4" s="1"/>
  <c r="BC68" i="4"/>
  <c r="BE68" i="4" s="1"/>
  <c r="BB67" i="4"/>
  <c r="AI67" i="4"/>
  <c r="AK67" i="4" s="1"/>
  <c r="X67" i="4"/>
  <c r="Z67" i="4" s="1"/>
  <c r="Q66" i="4"/>
  <c r="AN30" i="4" l="1"/>
  <c r="AL31" i="4" s="1"/>
  <c r="AJ31" i="4"/>
  <c r="AT33" i="4"/>
  <c r="AW33" i="4" s="1"/>
  <c r="AY33" i="4" s="1"/>
  <c r="Y34" i="4"/>
  <c r="AA34" i="4"/>
  <c r="AU71" i="4"/>
  <c r="AS72" i="4"/>
  <c r="AR71" i="4"/>
  <c r="AH67" i="4"/>
  <c r="BC69" i="4"/>
  <c r="BE69" i="4" s="1"/>
  <c r="BB68" i="4"/>
  <c r="BD29" i="4"/>
  <c r="AI68" i="4"/>
  <c r="AK68" i="4" s="1"/>
  <c r="Q67" i="4"/>
  <c r="X68" i="4"/>
  <c r="Z68" i="4" s="1"/>
  <c r="AX33" i="4" l="1"/>
  <c r="AV34" i="4" s="1"/>
  <c r="AB34" i="4"/>
  <c r="AE34" i="4" s="1"/>
  <c r="AH68" i="4"/>
  <c r="AU72" i="4"/>
  <c r="AR72" i="4"/>
  <c r="AS73" i="4"/>
  <c r="BG29" i="4"/>
  <c r="BI29" i="4" s="1"/>
  <c r="BC70" i="4"/>
  <c r="BE70" i="4" s="1"/>
  <c r="BB69" i="4"/>
  <c r="AI69" i="4"/>
  <c r="AK69" i="4" s="1"/>
  <c r="AM31" i="4"/>
  <c r="AO31" i="4" s="1"/>
  <c r="X69" i="4"/>
  <c r="Z69" i="4" s="1"/>
  <c r="Q68" i="4"/>
  <c r="AT34" i="4" l="1"/>
  <c r="AW34" i="4" s="1"/>
  <c r="AC34" i="4"/>
  <c r="AD35" i="4" s="1"/>
  <c r="AU73" i="4"/>
  <c r="AR73" i="4"/>
  <c r="AS74" i="4"/>
  <c r="BH29" i="4"/>
  <c r="BF30" i="4" s="1"/>
  <c r="AH69" i="4"/>
  <c r="BC71" i="4"/>
  <c r="BE71" i="4" s="1"/>
  <c r="BB70" i="4"/>
  <c r="AI70" i="4"/>
  <c r="AK70" i="4" s="1"/>
  <c r="AN31" i="4"/>
  <c r="X70" i="4"/>
  <c r="Z70" i="4" s="1"/>
  <c r="Q69" i="4"/>
  <c r="AL32" i="4" l="1"/>
  <c r="AJ32" i="4"/>
  <c r="Y35" i="4"/>
  <c r="AA35" i="4"/>
  <c r="AY34" i="4"/>
  <c r="AX34" i="4"/>
  <c r="AV35" i="4" s="1"/>
  <c r="AR74" i="4"/>
  <c r="AU74" i="4"/>
  <c r="AS75" i="4"/>
  <c r="BD30" i="4"/>
  <c r="BG30" i="4" s="1"/>
  <c r="BI30" i="4" s="1"/>
  <c r="BC72" i="4"/>
  <c r="BE72" i="4" s="1"/>
  <c r="BB71" i="4"/>
  <c r="AI71" i="4"/>
  <c r="AK71" i="4" s="1"/>
  <c r="AH70" i="4"/>
  <c r="X71" i="4"/>
  <c r="Z71" i="4" s="1"/>
  <c r="Q70" i="4"/>
  <c r="AM32" i="4" l="1"/>
  <c r="AO32" i="4" s="1"/>
  <c r="AB35" i="4"/>
  <c r="AE35" i="4" s="1"/>
  <c r="AT35" i="4"/>
  <c r="AW35" i="4" s="1"/>
  <c r="AU75" i="4"/>
  <c r="AS76" i="4"/>
  <c r="AR75" i="4"/>
  <c r="BH30" i="4"/>
  <c r="BF31" i="4" s="1"/>
  <c r="BC73" i="4"/>
  <c r="BE73" i="4" s="1"/>
  <c r="BB72" i="4"/>
  <c r="AH71" i="4"/>
  <c r="AI72" i="4"/>
  <c r="AK72" i="4" s="1"/>
  <c r="AN32" i="4"/>
  <c r="Q71" i="4"/>
  <c r="X72" i="4"/>
  <c r="Z72" i="4" s="1"/>
  <c r="AL33" i="4" l="1"/>
  <c r="AJ33" i="4"/>
  <c r="AC35" i="4"/>
  <c r="AD36" i="4" s="1"/>
  <c r="AY35" i="4"/>
  <c r="AX35" i="4"/>
  <c r="AR76" i="4"/>
  <c r="AS77" i="4"/>
  <c r="AU76" i="4"/>
  <c r="AH72" i="4"/>
  <c r="BD31" i="4"/>
  <c r="BG31" i="4" s="1"/>
  <c r="BI31" i="4" s="1"/>
  <c r="BC74" i="4"/>
  <c r="BE74" i="4" s="1"/>
  <c r="BB73" i="4"/>
  <c r="AI73" i="4"/>
  <c r="AK73" i="4" s="1"/>
  <c r="Q72" i="4"/>
  <c r="X73" i="4"/>
  <c r="Z73" i="4" s="1"/>
  <c r="Y36" i="4" l="1"/>
  <c r="AA36" i="4"/>
  <c r="AT36" i="4"/>
  <c r="AV36" i="4"/>
  <c r="AR77" i="4"/>
  <c r="AS78" i="4"/>
  <c r="AU77" i="4"/>
  <c r="AH73" i="4"/>
  <c r="BC75" i="4"/>
  <c r="BE75" i="4" s="1"/>
  <c r="BB74" i="4"/>
  <c r="BH31" i="4"/>
  <c r="BF32" i="4" s="1"/>
  <c r="AI74" i="4"/>
  <c r="AK74" i="4" s="1"/>
  <c r="AM33" i="4"/>
  <c r="AO33" i="4" s="1"/>
  <c r="X74" i="4"/>
  <c r="Z74" i="4" s="1"/>
  <c r="Q73" i="4"/>
  <c r="AB36" i="4" l="1"/>
  <c r="AE36" i="4" s="1"/>
  <c r="AW36" i="4"/>
  <c r="AR78" i="4"/>
  <c r="AS79" i="4"/>
  <c r="AU78" i="4"/>
  <c r="AH74" i="4"/>
  <c r="BD32" i="4"/>
  <c r="BC76" i="4"/>
  <c r="BE76" i="4" s="1"/>
  <c r="BB75" i="4"/>
  <c r="AI75" i="4"/>
  <c r="AK75" i="4" s="1"/>
  <c r="AN33" i="4"/>
  <c r="Q74" i="4"/>
  <c r="X75" i="4"/>
  <c r="Z75" i="4" s="1"/>
  <c r="AC36" i="4" l="1"/>
  <c r="AD37" i="4" s="1"/>
  <c r="AL34" i="4"/>
  <c r="AJ34" i="4"/>
  <c r="AY36" i="4"/>
  <c r="AX36" i="4"/>
  <c r="Y37" i="4"/>
  <c r="AA37" i="4"/>
  <c r="AU79" i="4"/>
  <c r="AR79" i="4"/>
  <c r="AS80" i="4"/>
  <c r="BG32" i="4"/>
  <c r="BI32" i="4" s="1"/>
  <c r="BC77" i="4"/>
  <c r="BE77" i="4" s="1"/>
  <c r="BB76" i="4"/>
  <c r="AH75" i="4"/>
  <c r="AI76" i="4"/>
  <c r="AK76" i="4" s="1"/>
  <c r="X76" i="4"/>
  <c r="Z76" i="4" s="1"/>
  <c r="Q75" i="4"/>
  <c r="AB37" i="4" l="1"/>
  <c r="AE37" i="4" s="1"/>
  <c r="AV37" i="4"/>
  <c r="AT37" i="4"/>
  <c r="AU80" i="4"/>
  <c r="AR80" i="4"/>
  <c r="AS81" i="4"/>
  <c r="BH32" i="4"/>
  <c r="BF33" i="4" s="1"/>
  <c r="AH76" i="4"/>
  <c r="BC78" i="4"/>
  <c r="BE78" i="4" s="1"/>
  <c r="BB77" i="4"/>
  <c r="AI77" i="4"/>
  <c r="AK77" i="4" s="1"/>
  <c r="AM34" i="4"/>
  <c r="AO34" i="4" s="1"/>
  <c r="X77" i="4"/>
  <c r="Z77" i="4" s="1"/>
  <c r="Q76" i="4"/>
  <c r="AC37" i="4" l="1"/>
  <c r="Y38" i="4" s="1"/>
  <c r="AW37" i="4"/>
  <c r="AY37" i="4" s="1"/>
  <c r="AH77" i="4"/>
  <c r="AU81" i="4"/>
  <c r="AS82" i="4"/>
  <c r="AR81" i="4"/>
  <c r="BD33" i="4"/>
  <c r="BC79" i="4"/>
  <c r="BE79" i="4" s="1"/>
  <c r="BB78" i="4"/>
  <c r="AI78" i="4"/>
  <c r="AK78" i="4" s="1"/>
  <c r="AN34" i="4"/>
  <c r="Q77" i="4"/>
  <c r="X78" i="4"/>
  <c r="Z78" i="4" s="1"/>
  <c r="AL35" i="4" l="1"/>
  <c r="AJ35" i="4"/>
  <c r="AA38" i="4"/>
  <c r="AB38" i="4" s="1"/>
  <c r="AE38" i="4" s="1"/>
  <c r="AD38" i="4"/>
  <c r="AX37" i="4"/>
  <c r="AT38" i="4" s="1"/>
  <c r="BG33" i="4"/>
  <c r="BI33" i="4" s="1"/>
  <c r="AS83" i="4"/>
  <c r="AR82" i="4"/>
  <c r="AU82" i="4"/>
  <c r="AH78" i="4"/>
  <c r="BC80" i="4"/>
  <c r="BE80" i="4" s="1"/>
  <c r="BB79" i="4"/>
  <c r="AI79" i="4"/>
  <c r="AK79" i="4" s="1"/>
  <c r="X79" i="4"/>
  <c r="Z79" i="4" s="1"/>
  <c r="Q78" i="4"/>
  <c r="AC38" i="4" l="1"/>
  <c r="AA39" i="4" s="1"/>
  <c r="AV38" i="4"/>
  <c r="AW38" i="4" s="1"/>
  <c r="BH33" i="4"/>
  <c r="AU83" i="4"/>
  <c r="AS84" i="4"/>
  <c r="AR83" i="4"/>
  <c r="AH79" i="4"/>
  <c r="BC81" i="4"/>
  <c r="BE81" i="4" s="1"/>
  <c r="BB80" i="4"/>
  <c r="AI80" i="4"/>
  <c r="AK80" i="4" s="1"/>
  <c r="AM35" i="4"/>
  <c r="AO35" i="4" s="1"/>
  <c r="Q79" i="4"/>
  <c r="X80" i="4"/>
  <c r="Z80" i="4" s="1"/>
  <c r="Y39" i="4" l="1"/>
  <c r="AB39" i="4" s="1"/>
  <c r="AE39" i="4" s="1"/>
  <c r="AD39" i="4"/>
  <c r="AY38" i="4"/>
  <c r="AX38" i="4"/>
  <c r="AV39" i="4" s="1"/>
  <c r="BD34" i="4"/>
  <c r="BF34" i="4"/>
  <c r="AR84" i="4"/>
  <c r="AS85" i="4"/>
  <c r="AU84" i="4"/>
  <c r="AH80" i="4"/>
  <c r="BC82" i="4"/>
  <c r="BE82" i="4" s="1"/>
  <c r="BB81" i="4"/>
  <c r="AI81" i="4"/>
  <c r="AK81" i="4" s="1"/>
  <c r="AN35" i="4"/>
  <c r="X81" i="4"/>
  <c r="Z81" i="4" s="1"/>
  <c r="Q80" i="4"/>
  <c r="AL36" i="4" l="1"/>
  <c r="AJ36" i="4"/>
  <c r="AC39" i="4"/>
  <c r="Y40" i="4" s="1"/>
  <c r="AT39" i="4"/>
  <c r="AW39" i="4" s="1"/>
  <c r="AY39" i="4" s="1"/>
  <c r="BG34" i="4"/>
  <c r="BI34" i="4" s="1"/>
  <c r="AR85" i="4"/>
  <c r="AS86" i="4"/>
  <c r="AU85" i="4"/>
  <c r="AH81" i="4"/>
  <c r="BC83" i="4"/>
  <c r="BE83" i="4" s="1"/>
  <c r="BB82" i="4"/>
  <c r="AI82" i="4"/>
  <c r="AK82" i="4" s="1"/>
  <c r="X82" i="4"/>
  <c r="Z82" i="4" s="1"/>
  <c r="Q81" i="4"/>
  <c r="AA40" i="4" l="1"/>
  <c r="AB40" i="4" s="1"/>
  <c r="AE40" i="4" s="1"/>
  <c r="AD40" i="4"/>
  <c r="BH34" i="4"/>
  <c r="BF35" i="4" s="1"/>
  <c r="AX39" i="4"/>
  <c r="AV40" i="4" s="1"/>
  <c r="AR86" i="4"/>
  <c r="AS87" i="4"/>
  <c r="AU86" i="4"/>
  <c r="AH82" i="4"/>
  <c r="BC84" i="4"/>
  <c r="BE84" i="4" s="1"/>
  <c r="BB83" i="4"/>
  <c r="AI83" i="4"/>
  <c r="AK83" i="4" s="1"/>
  <c r="AM36" i="4"/>
  <c r="AO36" i="4" s="1"/>
  <c r="X83" i="4"/>
  <c r="Z83" i="4" s="1"/>
  <c r="Q82" i="4"/>
  <c r="AC40" i="4" l="1"/>
  <c r="Y41" i="4" s="1"/>
  <c r="BD35" i="4"/>
  <c r="BG35" i="4" s="1"/>
  <c r="BI35" i="4" s="1"/>
  <c r="AT40" i="4"/>
  <c r="AW40" i="4" s="1"/>
  <c r="AY40" i="4" s="1"/>
  <c r="AU87" i="4"/>
  <c r="AS88" i="4"/>
  <c r="AR87" i="4"/>
  <c r="AH83" i="4"/>
  <c r="BC85" i="4"/>
  <c r="BE85" i="4" s="1"/>
  <c r="BB84" i="4"/>
  <c r="AI84" i="4"/>
  <c r="AK84" i="4" s="1"/>
  <c r="AN36" i="4"/>
  <c r="Q83" i="4"/>
  <c r="X84" i="4"/>
  <c r="Z84" i="4" s="1"/>
  <c r="AA41" i="4" l="1"/>
  <c r="AB41" i="4" s="1"/>
  <c r="AE41" i="4" s="1"/>
  <c r="AD41" i="4"/>
  <c r="AL37" i="4"/>
  <c r="AJ37" i="4"/>
  <c r="AX40" i="4"/>
  <c r="AC41" i="4"/>
  <c r="AD42" i="4" s="1"/>
  <c r="AU88" i="4"/>
  <c r="AR88" i="4"/>
  <c r="AS89" i="4"/>
  <c r="AH84" i="4"/>
  <c r="BH35" i="4"/>
  <c r="BF36" i="4" s="1"/>
  <c r="BC86" i="4"/>
  <c r="BE86" i="4" s="1"/>
  <c r="BB85" i="4"/>
  <c r="AI85" i="4"/>
  <c r="AK85" i="4" s="1"/>
  <c r="X85" i="4"/>
  <c r="Z85" i="4" s="1"/>
  <c r="Q84" i="4"/>
  <c r="AV41" i="4" l="1"/>
  <c r="AT41" i="4"/>
  <c r="Y42" i="4"/>
  <c r="AA42" i="4"/>
  <c r="AU89" i="4"/>
  <c r="AS90" i="4"/>
  <c r="AR89" i="4"/>
  <c r="BD36" i="4"/>
  <c r="AH85" i="4"/>
  <c r="BC87" i="4"/>
  <c r="BE87" i="4" s="1"/>
  <c r="BB86" i="4"/>
  <c r="AI86" i="4"/>
  <c r="AK86" i="4" s="1"/>
  <c r="AM37" i="4"/>
  <c r="AO37" i="4" s="1"/>
  <c r="X86" i="4"/>
  <c r="Z86" i="4" s="1"/>
  <c r="Q85" i="4"/>
  <c r="AW41" i="4" l="1"/>
  <c r="AY41" i="4" s="1"/>
  <c r="AB42" i="4"/>
  <c r="AE42" i="4" s="1"/>
  <c r="AH86" i="4"/>
  <c r="AR90" i="4"/>
  <c r="AU90" i="4"/>
  <c r="AS91" i="4"/>
  <c r="BG36" i="4"/>
  <c r="BI36" i="4" s="1"/>
  <c r="BC88" i="4"/>
  <c r="BE88" i="4" s="1"/>
  <c r="BB87" i="4"/>
  <c r="AI87" i="4"/>
  <c r="AK87" i="4" s="1"/>
  <c r="AN37" i="4"/>
  <c r="Q86" i="4"/>
  <c r="X87" i="4"/>
  <c r="AL38" i="4" l="1"/>
  <c r="AJ38" i="4"/>
  <c r="AX41" i="4"/>
  <c r="AV42" i="4" s="1"/>
  <c r="AC42" i="4"/>
  <c r="Y43" i="4" s="1"/>
  <c r="AU91" i="4"/>
  <c r="AR91" i="4"/>
  <c r="AS92" i="4"/>
  <c r="BH36" i="4"/>
  <c r="BF37" i="4" s="1"/>
  <c r="AH87" i="4"/>
  <c r="BC89" i="4"/>
  <c r="BE89" i="4" s="1"/>
  <c r="BB88" i="4"/>
  <c r="Q87" i="4"/>
  <c r="Z87" i="4"/>
  <c r="AI88" i="4"/>
  <c r="AK88" i="4" s="1"/>
  <c r="X88" i="4"/>
  <c r="AT42" i="4" l="1"/>
  <c r="AW42" i="4" s="1"/>
  <c r="AY42" i="4" s="1"/>
  <c r="AD43" i="4"/>
  <c r="AA43" i="4"/>
  <c r="AB43" i="4" s="1"/>
  <c r="AE43" i="4" s="1"/>
  <c r="AR92" i="4"/>
  <c r="AS93" i="4"/>
  <c r="AU92" i="4"/>
  <c r="AH88" i="4"/>
  <c r="BD37" i="4"/>
  <c r="BC90" i="4"/>
  <c r="BE90" i="4" s="1"/>
  <c r="BB89" i="4"/>
  <c r="Q88" i="4"/>
  <c r="Z88" i="4"/>
  <c r="AI89" i="4"/>
  <c r="AK89" i="4" s="1"/>
  <c r="AM38" i="4"/>
  <c r="AO38" i="4" s="1"/>
  <c r="X89" i="4"/>
  <c r="AX42" i="4" l="1"/>
  <c r="AT43" i="4" s="1"/>
  <c r="AC43" i="4"/>
  <c r="Y44" i="4" s="1"/>
  <c r="BG37" i="4"/>
  <c r="BI37" i="4" s="1"/>
  <c r="AR93" i="4"/>
  <c r="AS94" i="4"/>
  <c r="AU93" i="4"/>
  <c r="BC91" i="4"/>
  <c r="BE91" i="4" s="1"/>
  <c r="BB90" i="4"/>
  <c r="Q89" i="4"/>
  <c r="Z89" i="4"/>
  <c r="AH89" i="4"/>
  <c r="AI90" i="4"/>
  <c r="AK90" i="4" s="1"/>
  <c r="AN38" i="4"/>
  <c r="X90" i="4"/>
  <c r="AL39" i="4" l="1"/>
  <c r="AJ39" i="4"/>
  <c r="AV43" i="4"/>
  <c r="AW43" i="4" s="1"/>
  <c r="AY43" i="4" s="1"/>
  <c r="AD44" i="4"/>
  <c r="AA44" i="4"/>
  <c r="AB44" i="4" s="1"/>
  <c r="AE44" i="4" s="1"/>
  <c r="BH37" i="4"/>
  <c r="BF38" i="4" s="1"/>
  <c r="AR94" i="4"/>
  <c r="AS95" i="4"/>
  <c r="AU94" i="4"/>
  <c r="BC92" i="4"/>
  <c r="BE92" i="4" s="1"/>
  <c r="BB91" i="4"/>
  <c r="Q90" i="4"/>
  <c r="Z90" i="4"/>
  <c r="AH90" i="4"/>
  <c r="AI91" i="4"/>
  <c r="AK91" i="4" s="1"/>
  <c r="X91" i="4"/>
  <c r="AX43" i="4" l="1"/>
  <c r="AT44" i="4" s="1"/>
  <c r="AC44" i="4"/>
  <c r="AD45" i="4" s="1"/>
  <c r="BD38" i="4"/>
  <c r="BG38" i="4" s="1"/>
  <c r="BI38" i="4" s="1"/>
  <c r="AR95" i="4"/>
  <c r="AS96" i="4"/>
  <c r="AU95" i="4"/>
  <c r="BC93" i="4"/>
  <c r="BE93" i="4" s="1"/>
  <c r="BB92" i="4"/>
  <c r="Q91" i="4"/>
  <c r="Z91" i="4"/>
  <c r="AH91" i="4"/>
  <c r="AI92" i="4"/>
  <c r="AK92" i="4" s="1"/>
  <c r="AM39" i="4"/>
  <c r="AO39" i="4" s="1"/>
  <c r="X92" i="4"/>
  <c r="AV44" i="4" l="1"/>
  <c r="AW44" i="4" s="1"/>
  <c r="AY44" i="4" s="1"/>
  <c r="Y45" i="4"/>
  <c r="AA45" i="4"/>
  <c r="AR96" i="4"/>
  <c r="AS97" i="4"/>
  <c r="AU96" i="4"/>
  <c r="AH92" i="4"/>
  <c r="BH38" i="4"/>
  <c r="BF39" i="4" s="1"/>
  <c r="BC94" i="4"/>
  <c r="BE94" i="4" s="1"/>
  <c r="BB93" i="4"/>
  <c r="Q92" i="4"/>
  <c r="Z92" i="4"/>
  <c r="AI93" i="4"/>
  <c r="AK93" i="4" s="1"/>
  <c r="AN39" i="4"/>
  <c r="X93" i="4"/>
  <c r="AL40" i="4" l="1"/>
  <c r="AJ40" i="4"/>
  <c r="AX44" i="4"/>
  <c r="AV45" i="4" s="1"/>
  <c r="AB45" i="4"/>
  <c r="AE45" i="4" s="1"/>
  <c r="AR97" i="4"/>
  <c r="AS98" i="4"/>
  <c r="AU97" i="4"/>
  <c r="BD39" i="4"/>
  <c r="BC95" i="4"/>
  <c r="BE95" i="4" s="1"/>
  <c r="BB94" i="4"/>
  <c r="Q93" i="4"/>
  <c r="Z93" i="4"/>
  <c r="AH93" i="4"/>
  <c r="AI94" i="4"/>
  <c r="AK94" i="4" s="1"/>
  <c r="X94" i="4"/>
  <c r="AT45" i="4" l="1"/>
  <c r="AW45" i="4" s="1"/>
  <c r="AY45" i="4" s="1"/>
  <c r="AC45" i="4"/>
  <c r="AD46" i="4" s="1"/>
  <c r="AH94" i="4"/>
  <c r="AR98" i="4"/>
  <c r="AS99" i="4"/>
  <c r="AU98" i="4"/>
  <c r="BG39" i="4"/>
  <c r="BI39" i="4" s="1"/>
  <c r="BC96" i="4"/>
  <c r="BE96" i="4" s="1"/>
  <c r="BB95" i="4"/>
  <c r="Q94" i="4"/>
  <c r="Z94" i="4"/>
  <c r="AI95" i="4"/>
  <c r="AK95" i="4" s="1"/>
  <c r="AM40" i="4"/>
  <c r="AO40" i="4" s="1"/>
  <c r="X95" i="4"/>
  <c r="AX45" i="4" l="1"/>
  <c r="AT46" i="4" s="1"/>
  <c r="Y46" i="4"/>
  <c r="AA46" i="4"/>
  <c r="AR99" i="4"/>
  <c r="AS100" i="4"/>
  <c r="AU99" i="4"/>
  <c r="BH39" i="4"/>
  <c r="BC97" i="4"/>
  <c r="BE97" i="4" s="1"/>
  <c r="BB96" i="4"/>
  <c r="Q95" i="4"/>
  <c r="Z95" i="4"/>
  <c r="AH95" i="4"/>
  <c r="AI96" i="4"/>
  <c r="AK96" i="4" s="1"/>
  <c r="AN40" i="4"/>
  <c r="X96" i="4"/>
  <c r="AL41" i="4" l="1"/>
  <c r="AJ41" i="4"/>
  <c r="AV46" i="4"/>
  <c r="AW46" i="4" s="1"/>
  <c r="AY46" i="4" s="1"/>
  <c r="BD40" i="4"/>
  <c r="BF40" i="4"/>
  <c r="AB46" i="4"/>
  <c r="AC46" i="4" s="1"/>
  <c r="AA47" i="4" s="1"/>
  <c r="AR100" i="4"/>
  <c r="AS101" i="4"/>
  <c r="AU100" i="4"/>
  <c r="AH96" i="4"/>
  <c r="BC98" i="4"/>
  <c r="BE98" i="4" s="1"/>
  <c r="BB97" i="4"/>
  <c r="Q96" i="4"/>
  <c r="Z96" i="4"/>
  <c r="AI97" i="4"/>
  <c r="AK97" i="4" s="1"/>
  <c r="X97" i="4"/>
  <c r="Z97" i="4" s="1"/>
  <c r="AX46" i="4" l="1"/>
  <c r="AT47" i="4" s="1"/>
  <c r="BG40" i="4"/>
  <c r="BI40" i="4" s="1"/>
  <c r="Y47" i="4"/>
  <c r="AB47" i="4" s="1"/>
  <c r="AE47" i="4" s="1"/>
  <c r="AD47" i="4"/>
  <c r="AE46" i="4"/>
  <c r="AR101" i="4"/>
  <c r="AS102" i="4"/>
  <c r="AU101" i="4"/>
  <c r="BC99" i="4"/>
  <c r="BE99" i="4" s="1"/>
  <c r="BB98" i="4"/>
  <c r="AH97" i="4"/>
  <c r="AI98" i="4"/>
  <c r="AK98" i="4" s="1"/>
  <c r="AM41" i="4"/>
  <c r="AO41" i="4" s="1"/>
  <c r="X98" i="4"/>
  <c r="Z98" i="4" s="1"/>
  <c r="Q97" i="4"/>
  <c r="AV47" i="4" l="1"/>
  <c r="AW47" i="4" s="1"/>
  <c r="AY47" i="4" s="1"/>
  <c r="BH40" i="4"/>
  <c r="BD41" i="4" s="1"/>
  <c r="AC47" i="4"/>
  <c r="Y48" i="4" s="1"/>
  <c r="AR102" i="4"/>
  <c r="AS103" i="4"/>
  <c r="AU102" i="4"/>
  <c r="AH98" i="4"/>
  <c r="BC100" i="4"/>
  <c r="BE100" i="4" s="1"/>
  <c r="BB99" i="4"/>
  <c r="AN41" i="4"/>
  <c r="AI99" i="4"/>
  <c r="AK99" i="4" s="1"/>
  <c r="X99" i="4"/>
  <c r="Z99" i="4" s="1"/>
  <c r="Q98" i="4"/>
  <c r="AL42" i="4" l="1"/>
  <c r="AJ42" i="4"/>
  <c r="AX47" i="4"/>
  <c r="AV48" i="4" s="1"/>
  <c r="BF41" i="4"/>
  <c r="BG41" i="4" s="1"/>
  <c r="BI41" i="4" s="1"/>
  <c r="AD48" i="4"/>
  <c r="AA48" i="4"/>
  <c r="AB48" i="4" s="1"/>
  <c r="AE48" i="4" s="1"/>
  <c r="AR103" i="4"/>
  <c r="AS104" i="4"/>
  <c r="AU103" i="4"/>
  <c r="BC101" i="4"/>
  <c r="BE101" i="4" s="1"/>
  <c r="BB100" i="4"/>
  <c r="AH99" i="4"/>
  <c r="AI100" i="4"/>
  <c r="AK100" i="4" s="1"/>
  <c r="X100" i="4"/>
  <c r="Z100" i="4" s="1"/>
  <c r="Q99" i="4"/>
  <c r="AM42" i="4" l="1"/>
  <c r="AO42" i="4" s="1"/>
  <c r="AT48" i="4"/>
  <c r="AW48" i="4" s="1"/>
  <c r="AY48" i="4" s="1"/>
  <c r="BH41" i="4"/>
  <c r="BF42" i="4" s="1"/>
  <c r="AC48" i="4"/>
  <c r="AA49" i="4" s="1"/>
  <c r="AR104" i="4"/>
  <c r="AS105" i="4"/>
  <c r="AU104" i="4"/>
  <c r="BC102" i="4"/>
  <c r="BE102" i="4" s="1"/>
  <c r="BB101" i="4"/>
  <c r="AH100" i="4"/>
  <c r="AI101" i="4"/>
  <c r="AK101" i="4" s="1"/>
  <c r="X101" i="4"/>
  <c r="Z101" i="4" s="1"/>
  <c r="Q100" i="4"/>
  <c r="AN42" i="4" l="1"/>
  <c r="AL43" i="4" s="1"/>
  <c r="BD42" i="4"/>
  <c r="BG42" i="4" s="1"/>
  <c r="BI42" i="4" s="1"/>
  <c r="AX48" i="4"/>
  <c r="AD49" i="4"/>
  <c r="Y49" i="4"/>
  <c r="AB49" i="4" s="1"/>
  <c r="AE49" i="4" s="1"/>
  <c r="AR105" i="4"/>
  <c r="AS106" i="4"/>
  <c r="AU105" i="4"/>
  <c r="AH101" i="4"/>
  <c r="BC103" i="4"/>
  <c r="BE103" i="4" s="1"/>
  <c r="BB102" i="4"/>
  <c r="AI102" i="4"/>
  <c r="AK102" i="4" s="1"/>
  <c r="Q101" i="4"/>
  <c r="X102" i="4"/>
  <c r="Z102" i="4" s="1"/>
  <c r="AJ43" i="4" l="1"/>
  <c r="AM43" i="4" s="1"/>
  <c r="AO43" i="4" s="1"/>
  <c r="BH42" i="4"/>
  <c r="BF43" i="4" s="1"/>
  <c r="AV49" i="4"/>
  <c r="AT49" i="4"/>
  <c r="AC49" i="4"/>
  <c r="AA50" i="4" s="1"/>
  <c r="AR106" i="4"/>
  <c r="AS107" i="4"/>
  <c r="AU106" i="4"/>
  <c r="AH102" i="4"/>
  <c r="BC104" i="4"/>
  <c r="BE104" i="4" s="1"/>
  <c r="BB103" i="4"/>
  <c r="AI103" i="4"/>
  <c r="AK103" i="4" s="1"/>
  <c r="X103" i="4"/>
  <c r="Z103" i="4" s="1"/>
  <c r="Q102" i="4"/>
  <c r="BD43" i="4" l="1"/>
  <c r="BG43" i="4" s="1"/>
  <c r="BI43" i="4" s="1"/>
  <c r="AW49" i="4"/>
  <c r="AY49" i="4" s="1"/>
  <c r="AD50" i="4"/>
  <c r="Y50" i="4"/>
  <c r="AB50" i="4" s="1"/>
  <c r="AE50" i="4" s="1"/>
  <c r="AR107" i="4"/>
  <c r="AS108" i="4"/>
  <c r="AU107" i="4"/>
  <c r="AH103" i="4"/>
  <c r="BC105" i="4"/>
  <c r="BE105" i="4" s="1"/>
  <c r="BB104" i="4"/>
  <c r="AI104" i="4"/>
  <c r="AK104" i="4" s="1"/>
  <c r="AN43" i="4"/>
  <c r="X104" i="4"/>
  <c r="Z104" i="4" s="1"/>
  <c r="Q103" i="4"/>
  <c r="AL44" i="4" l="1"/>
  <c r="AJ44" i="4"/>
  <c r="BH43" i="4"/>
  <c r="BF44" i="4" s="1"/>
  <c r="AX49" i="4"/>
  <c r="AC50" i="4"/>
  <c r="AD51" i="4" s="1"/>
  <c r="AR108" i="4"/>
  <c r="AS109" i="4"/>
  <c r="AU108" i="4"/>
  <c r="AH104" i="4"/>
  <c r="BC106" i="4"/>
  <c r="BE106" i="4" s="1"/>
  <c r="BB105" i="4"/>
  <c r="AI105" i="4"/>
  <c r="AK105" i="4" s="1"/>
  <c r="X105" i="4"/>
  <c r="Z105" i="4" s="1"/>
  <c r="Q104" i="4"/>
  <c r="BD44" i="4" l="1"/>
  <c r="BG44" i="4" s="1"/>
  <c r="BI44" i="4" s="1"/>
  <c r="AT50" i="4"/>
  <c r="AV50" i="4"/>
  <c r="AW50" i="4" s="1"/>
  <c r="AY50" i="4" s="1"/>
  <c r="AA51" i="4"/>
  <c r="Y51" i="4"/>
  <c r="AH105" i="4"/>
  <c r="AR109" i="4"/>
  <c r="AS110" i="4"/>
  <c r="AU109" i="4"/>
  <c r="BC107" i="4"/>
  <c r="BE107" i="4" s="1"/>
  <c r="BB106" i="4"/>
  <c r="AI106" i="4"/>
  <c r="AK106" i="4" s="1"/>
  <c r="AM44" i="4"/>
  <c r="AO44" i="4" s="1"/>
  <c r="Q105" i="4"/>
  <c r="X106" i="4"/>
  <c r="Z106" i="4" s="1"/>
  <c r="BH44" i="4" l="1"/>
  <c r="BF45" i="4" s="1"/>
  <c r="AX50" i="4"/>
  <c r="AB51" i="4"/>
  <c r="AE51" i="4" s="1"/>
  <c r="AR110" i="4"/>
  <c r="AS111" i="4"/>
  <c r="AU110" i="4"/>
  <c r="AH106" i="4"/>
  <c r="BC108" i="4"/>
  <c r="BE108" i="4" s="1"/>
  <c r="BB107" i="4"/>
  <c r="AI107" i="4"/>
  <c r="AK107" i="4" s="1"/>
  <c r="AN44" i="4"/>
  <c r="X107" i="4"/>
  <c r="Z107" i="4" s="1"/>
  <c r="Q106" i="4"/>
  <c r="AL45" i="4" l="1"/>
  <c r="AJ45" i="4"/>
  <c r="BD45" i="4"/>
  <c r="BG45" i="4" s="1"/>
  <c r="BI45" i="4" s="1"/>
  <c r="AV51" i="4"/>
  <c r="AT51" i="4"/>
  <c r="AC51" i="4"/>
  <c r="AA52" i="4" s="1"/>
  <c r="AR111" i="4"/>
  <c r="AS112" i="4"/>
  <c r="AU111" i="4"/>
  <c r="AH107" i="4"/>
  <c r="BC109" i="4"/>
  <c r="BE109" i="4" s="1"/>
  <c r="BB108" i="4"/>
  <c r="AI108" i="4"/>
  <c r="AK108" i="4" s="1"/>
  <c r="X108" i="4"/>
  <c r="Z108" i="4" s="1"/>
  <c r="Q107" i="4"/>
  <c r="BH45" i="4" l="1"/>
  <c r="BF46" i="4" s="1"/>
  <c r="AW51" i="4"/>
  <c r="AY51" i="4" s="1"/>
  <c r="AD52" i="4"/>
  <c r="Y52" i="4"/>
  <c r="AB52" i="4" s="1"/>
  <c r="AE52" i="4" s="1"/>
  <c r="AR112" i="4"/>
  <c r="AU112" i="4"/>
  <c r="AH108" i="4"/>
  <c r="BC110" i="4"/>
  <c r="BE110" i="4" s="1"/>
  <c r="BB109" i="4"/>
  <c r="AI109" i="4"/>
  <c r="AK109" i="4" s="1"/>
  <c r="AM45" i="4"/>
  <c r="AO45" i="4" s="1"/>
  <c r="X109" i="4"/>
  <c r="Z109" i="4" s="1"/>
  <c r="Q108" i="4"/>
  <c r="BD46" i="4" l="1"/>
  <c r="BG46" i="4" s="1"/>
  <c r="AX51" i="4"/>
  <c r="AC52" i="4"/>
  <c r="Y53" i="4" s="1"/>
  <c r="BI46" i="4"/>
  <c r="BH46" i="4"/>
  <c r="BF47" i="4" s="1"/>
  <c r="AH109" i="4"/>
  <c r="BC111" i="4"/>
  <c r="BE111" i="4" s="1"/>
  <c r="BB110" i="4"/>
  <c r="AI110" i="4"/>
  <c r="AK110" i="4" s="1"/>
  <c r="AN45" i="4"/>
  <c r="X110" i="4"/>
  <c r="Z110" i="4" s="1"/>
  <c r="Q109" i="4"/>
  <c r="AL46" i="4" l="1"/>
  <c r="AJ46" i="4"/>
  <c r="AT52" i="4"/>
  <c r="AV52" i="4"/>
  <c r="AW52" i="4" s="1"/>
  <c r="AY52" i="4" s="1"/>
  <c r="AA53" i="4"/>
  <c r="AB53" i="4" s="1"/>
  <c r="AE53" i="4" s="1"/>
  <c r="AD53" i="4"/>
  <c r="BD47" i="4"/>
  <c r="BG47" i="4" s="1"/>
  <c r="BI47" i="4" s="1"/>
  <c r="AH110" i="4"/>
  <c r="BC112" i="4"/>
  <c r="BE112" i="4" s="1"/>
  <c r="BB111" i="4"/>
  <c r="AI111" i="4"/>
  <c r="AK111" i="4" s="1"/>
  <c r="Q110" i="4"/>
  <c r="X111" i="4"/>
  <c r="Z111" i="4" s="1"/>
  <c r="AX52" i="4" l="1"/>
  <c r="AC53" i="4"/>
  <c r="AD54" i="4" s="1"/>
  <c r="BH47" i="4"/>
  <c r="BF48" i="4" s="1"/>
  <c r="BB112" i="4"/>
  <c r="AH111" i="4"/>
  <c r="AI112" i="4"/>
  <c r="AK112" i="4" s="1"/>
  <c r="F51" i="4" s="1"/>
  <c r="AM46" i="4"/>
  <c r="AO46" i="4" s="1"/>
  <c r="X112" i="4"/>
  <c r="Z112" i="4" s="1"/>
  <c r="C51" i="4" s="1"/>
  <c r="Q111" i="4"/>
  <c r="AT53" i="4" l="1"/>
  <c r="AV53" i="4"/>
  <c r="AA54" i="4"/>
  <c r="Y54" i="4"/>
  <c r="BD48" i="4"/>
  <c r="BG48" i="4" s="1"/>
  <c r="AH112" i="4"/>
  <c r="AN46" i="4"/>
  <c r="AL47" i="4" s="1"/>
  <c r="Q112" i="4"/>
  <c r="AW53" i="4" l="1"/>
  <c r="AY53" i="4" s="1"/>
  <c r="AX53" i="4"/>
  <c r="AB54" i="4"/>
  <c r="AE54" i="4" s="1"/>
  <c r="BI48" i="4"/>
  <c r="BH48" i="4"/>
  <c r="BF49" i="4" s="1"/>
  <c r="AJ47" i="4"/>
  <c r="AV54" i="4" l="1"/>
  <c r="AT54" i="4"/>
  <c r="AC54" i="4"/>
  <c r="AD55" i="4" s="1"/>
  <c r="BD49" i="4"/>
  <c r="BG49" i="4" s="1"/>
  <c r="BI49" i="4" s="1"/>
  <c r="AM47" i="4"/>
  <c r="AO47" i="4" s="1"/>
  <c r="AA55" i="4" l="1"/>
  <c r="Y55" i="4"/>
  <c r="AW54" i="4"/>
  <c r="AY54" i="4" s="1"/>
  <c r="BH49" i="4"/>
  <c r="BF50" i="4" s="1"/>
  <c r="AN47" i="4"/>
  <c r="AL48" i="4" s="1"/>
  <c r="AX54" i="4" l="1"/>
  <c r="AV55" i="4" s="1"/>
  <c r="AB55" i="4"/>
  <c r="AE55" i="4" s="1"/>
  <c r="BD50" i="4"/>
  <c r="BG50" i="4" s="1"/>
  <c r="BI50" i="4" s="1"/>
  <c r="AJ48" i="4"/>
  <c r="AT55" i="4" l="1"/>
  <c r="AC55" i="4"/>
  <c r="AA56" i="4" s="1"/>
  <c r="AW55" i="4"/>
  <c r="AY55" i="4" s="1"/>
  <c r="BH50" i="4"/>
  <c r="BF51" i="4" s="1"/>
  <c r="AM48" i="4"/>
  <c r="AO48" i="4" s="1"/>
  <c r="AD56" i="4" l="1"/>
  <c r="Y56" i="4"/>
  <c r="AB56" i="4" s="1"/>
  <c r="AE56" i="4" s="1"/>
  <c r="AX55" i="4"/>
  <c r="AT56" i="4" s="1"/>
  <c r="BD51" i="4"/>
  <c r="BG51" i="4" s="1"/>
  <c r="BI51" i="4" s="1"/>
  <c r="AN48" i="4"/>
  <c r="AL49" i="4" s="1"/>
  <c r="AV56" i="4" l="1"/>
  <c r="AW56" i="4" s="1"/>
  <c r="AY56" i="4" s="1"/>
  <c r="AC56" i="4"/>
  <c r="AD57" i="4" s="1"/>
  <c r="BH51" i="4"/>
  <c r="BF52" i="4" s="1"/>
  <c r="AJ49" i="4"/>
  <c r="AX56" i="4" l="1"/>
  <c r="AT57" i="4" s="1"/>
  <c r="Y57" i="4"/>
  <c r="AA57" i="4"/>
  <c r="BD52" i="4"/>
  <c r="BG52" i="4" s="1"/>
  <c r="BI52" i="4" s="1"/>
  <c r="AM49" i="4"/>
  <c r="AO49" i="4" s="1"/>
  <c r="AV57" i="4" l="1"/>
  <c r="AW57" i="4" s="1"/>
  <c r="AY57" i="4" s="1"/>
  <c r="AX57" i="4"/>
  <c r="AB57" i="4"/>
  <c r="AE57" i="4" s="1"/>
  <c r="BH52" i="4"/>
  <c r="BF53" i="4" s="1"/>
  <c r="AN49" i="4"/>
  <c r="AL50" i="4" s="1"/>
  <c r="AV58" i="4" l="1"/>
  <c r="AT58" i="4"/>
  <c r="AC57" i="4"/>
  <c r="AD58" i="4" s="1"/>
  <c r="BD53" i="4"/>
  <c r="AJ50" i="4"/>
  <c r="AW58" i="4" l="1"/>
  <c r="AY58" i="4" s="1"/>
  <c r="AX58" i="4"/>
  <c r="Y58" i="4"/>
  <c r="AA58" i="4"/>
  <c r="AB58" i="4" s="1"/>
  <c r="AE58" i="4" s="1"/>
  <c r="BG53" i="4"/>
  <c r="BI53" i="4" s="1"/>
  <c r="AM50" i="4"/>
  <c r="AO50" i="4" s="1"/>
  <c r="AV59" i="4" l="1"/>
  <c r="AT59" i="4"/>
  <c r="AW59" i="4"/>
  <c r="AY59" i="4" s="1"/>
  <c r="AC58" i="4"/>
  <c r="AD59" i="4" s="1"/>
  <c r="BH53" i="4"/>
  <c r="BF54" i="4" s="1"/>
  <c r="AN50" i="4"/>
  <c r="AL51" i="4" s="1"/>
  <c r="AX59" i="4" l="1"/>
  <c r="Y59" i="4"/>
  <c r="AA59" i="4"/>
  <c r="BD54" i="4"/>
  <c r="AJ51" i="4"/>
  <c r="AV60" i="4" l="1"/>
  <c r="AT60" i="4"/>
  <c r="AB59" i="4"/>
  <c r="AE59" i="4" s="1"/>
  <c r="BG54" i="4"/>
  <c r="BI54" i="4" s="1"/>
  <c r="AM51" i="4"/>
  <c r="AO51" i="4" s="1"/>
  <c r="AW60" i="4" l="1"/>
  <c r="AY60" i="4" s="1"/>
  <c r="AC59" i="4"/>
  <c r="Y60" i="4" s="1"/>
  <c r="BH54" i="4"/>
  <c r="AN51" i="4"/>
  <c r="AL52" i="4" s="1"/>
  <c r="AX60" i="4" l="1"/>
  <c r="AA60" i="4"/>
  <c r="AB60" i="4" s="1"/>
  <c r="AE60" i="4" s="1"/>
  <c r="AD60" i="4"/>
  <c r="BD55" i="4"/>
  <c r="BF55" i="4"/>
  <c r="AJ52" i="4"/>
  <c r="AM52" i="4" s="1"/>
  <c r="AO52" i="4" s="1"/>
  <c r="AT61" i="4" l="1"/>
  <c r="AV61" i="4"/>
  <c r="AW61" i="4"/>
  <c r="AY61" i="4" s="1"/>
  <c r="AC60" i="4"/>
  <c r="AD61" i="4" s="1"/>
  <c r="BG55" i="4"/>
  <c r="BI55" i="4" s="1"/>
  <c r="AN52" i="4"/>
  <c r="AL53" i="4" s="1"/>
  <c r="AA61" i="4" l="1"/>
  <c r="AX61" i="4"/>
  <c r="Y61" i="4"/>
  <c r="BH55" i="4"/>
  <c r="BF56" i="4" s="1"/>
  <c r="AJ53" i="4"/>
  <c r="AM53" i="4" s="1"/>
  <c r="AO53" i="4" s="1"/>
  <c r="AB61" i="4" l="1"/>
  <c r="AE61" i="4" s="1"/>
  <c r="AT62" i="4"/>
  <c r="AV62" i="4"/>
  <c r="AW62" i="4" s="1"/>
  <c r="AY62" i="4" s="1"/>
  <c r="AC61" i="4"/>
  <c r="AA62" i="4" s="1"/>
  <c r="BD56" i="4"/>
  <c r="BG56" i="4" s="1"/>
  <c r="BI56" i="4" s="1"/>
  <c r="AN53" i="4"/>
  <c r="AL54" i="4" s="1"/>
  <c r="AX62" i="4" l="1"/>
  <c r="Y62" i="4"/>
  <c r="AB62" i="4" s="1"/>
  <c r="AE62" i="4" s="1"/>
  <c r="AD62" i="4"/>
  <c r="BH56" i="4"/>
  <c r="BF57" i="4" s="1"/>
  <c r="AJ54" i="4"/>
  <c r="AM54" i="4" s="1"/>
  <c r="AO54" i="4" s="1"/>
  <c r="AV63" i="4" l="1"/>
  <c r="AT63" i="4"/>
  <c r="AW63" i="4"/>
  <c r="AY63" i="4" s="1"/>
  <c r="BD57" i="4"/>
  <c r="BG57" i="4" s="1"/>
  <c r="BI57" i="4" s="1"/>
  <c r="AC62" i="4"/>
  <c r="Y63" i="4" s="1"/>
  <c r="AN54" i="4"/>
  <c r="AL55" i="4" s="1"/>
  <c r="AX63" i="4" l="1"/>
  <c r="BH57" i="4"/>
  <c r="BF58" i="4" s="1"/>
  <c r="AD63" i="4"/>
  <c r="AA63" i="4"/>
  <c r="AB63" i="4" s="1"/>
  <c r="AE63" i="4" s="1"/>
  <c r="AJ55" i="4"/>
  <c r="AT64" i="4" l="1"/>
  <c r="AV64" i="4"/>
  <c r="AW64" i="4"/>
  <c r="AY64" i="4" s="1"/>
  <c r="BD58" i="4"/>
  <c r="BG58" i="4" s="1"/>
  <c r="BI58" i="4" s="1"/>
  <c r="AC63" i="4"/>
  <c r="AD64" i="4" s="1"/>
  <c r="AM55" i="4"/>
  <c r="AO55" i="4" s="1"/>
  <c r="AX64" i="4" l="1"/>
  <c r="BH58" i="4"/>
  <c r="BF59" i="4" s="1"/>
  <c r="Y64" i="4"/>
  <c r="AA64" i="4"/>
  <c r="AB64" i="4" s="1"/>
  <c r="AE64" i="4" s="1"/>
  <c r="AN55" i="4"/>
  <c r="AL56" i="4" s="1"/>
  <c r="AV65" i="4" l="1"/>
  <c r="AT65" i="4"/>
  <c r="BD59" i="4"/>
  <c r="BG59" i="4" s="1"/>
  <c r="BI59" i="4" s="1"/>
  <c r="AC64" i="4"/>
  <c r="AA65" i="4" s="1"/>
  <c r="AJ56" i="4"/>
  <c r="AM56" i="4" s="1"/>
  <c r="AO56" i="4" s="1"/>
  <c r="AW65" i="4" l="1"/>
  <c r="AY65" i="4" s="1"/>
  <c r="BH59" i="4"/>
  <c r="BF60" i="4" s="1"/>
  <c r="Y65" i="4"/>
  <c r="AB65" i="4" s="1"/>
  <c r="AE65" i="4" s="1"/>
  <c r="AD65" i="4"/>
  <c r="AN56" i="4"/>
  <c r="AL57" i="4" s="1"/>
  <c r="AX65" i="4" l="1"/>
  <c r="BD60" i="4"/>
  <c r="BG60" i="4" s="1"/>
  <c r="BI60" i="4" s="1"/>
  <c r="AC65" i="4"/>
  <c r="AD66" i="4" s="1"/>
  <c r="AJ57" i="4"/>
  <c r="AM57" i="4" s="1"/>
  <c r="AO57" i="4" s="1"/>
  <c r="AV66" i="4" l="1"/>
  <c r="AT66" i="4"/>
  <c r="AW66" i="4"/>
  <c r="AY66" i="4" s="1"/>
  <c r="BH60" i="4"/>
  <c r="BF61" i="4" s="1"/>
  <c r="AA66" i="4"/>
  <c r="Y66" i="4"/>
  <c r="AN57" i="4"/>
  <c r="AL58" i="4" s="1"/>
  <c r="AX66" i="4" l="1"/>
  <c r="BD61" i="4"/>
  <c r="BG61" i="4" s="1"/>
  <c r="BI61" i="4" s="1"/>
  <c r="AB66" i="4"/>
  <c r="AE66" i="4" s="1"/>
  <c r="AJ58" i="4"/>
  <c r="AV67" i="4" l="1"/>
  <c r="AT67" i="4"/>
  <c r="AW67" i="4" s="1"/>
  <c r="AY67" i="4" s="1"/>
  <c r="AC66" i="4"/>
  <c r="AA67" i="4" s="1"/>
  <c r="BH61" i="4"/>
  <c r="BF62" i="4" s="1"/>
  <c r="AM58" i="4"/>
  <c r="AO58" i="4" s="1"/>
  <c r="AX67" i="4" l="1"/>
  <c r="AD67" i="4"/>
  <c r="Y67" i="4"/>
  <c r="AB67" i="4" s="1"/>
  <c r="AE67" i="4" s="1"/>
  <c r="BD62" i="4"/>
  <c r="BG62" i="4" s="1"/>
  <c r="BI62" i="4" s="1"/>
  <c r="AN58" i="4"/>
  <c r="AL59" i="4" s="1"/>
  <c r="AV68" i="4" l="1"/>
  <c r="AT68" i="4"/>
  <c r="AC67" i="4"/>
  <c r="AA68" i="4" s="1"/>
  <c r="BH62" i="4"/>
  <c r="BF63" i="4" s="1"/>
  <c r="AJ59" i="4"/>
  <c r="AW68" i="4" l="1"/>
  <c r="AY68" i="4" s="1"/>
  <c r="AD68" i="4"/>
  <c r="Y68" i="4"/>
  <c r="AB68" i="4" s="1"/>
  <c r="AE68" i="4" s="1"/>
  <c r="BD63" i="4"/>
  <c r="BG63" i="4" s="1"/>
  <c r="BI63" i="4" s="1"/>
  <c r="AM59" i="4"/>
  <c r="AO59" i="4" s="1"/>
  <c r="AX68" i="4" l="1"/>
  <c r="AC68" i="4"/>
  <c r="Y69" i="4" s="1"/>
  <c r="BH63" i="4"/>
  <c r="AN59" i="4"/>
  <c r="AL60" i="4" s="1"/>
  <c r="AV69" i="4" l="1"/>
  <c r="AW69" i="4" s="1"/>
  <c r="AY69" i="4" s="1"/>
  <c r="AT69" i="4"/>
  <c r="AD69" i="4"/>
  <c r="AA69" i="4"/>
  <c r="AB69" i="4" s="1"/>
  <c r="AE69" i="4" s="1"/>
  <c r="BD64" i="4"/>
  <c r="BF64" i="4"/>
  <c r="AJ60" i="4"/>
  <c r="AX69" i="4" l="1"/>
  <c r="BG64" i="4"/>
  <c r="BI64" i="4" s="1"/>
  <c r="AC69" i="4"/>
  <c r="AA70" i="4" s="1"/>
  <c r="AM60" i="4"/>
  <c r="AO60" i="4" s="1"/>
  <c r="BH64" i="4" l="1"/>
  <c r="BF65" i="4" s="1"/>
  <c r="AT70" i="4"/>
  <c r="AV70" i="4"/>
  <c r="AW70" i="4" s="1"/>
  <c r="AY70" i="4" s="1"/>
  <c r="AD70" i="4"/>
  <c r="Y70" i="4"/>
  <c r="AB70" i="4" s="1"/>
  <c r="AE70" i="4" s="1"/>
  <c r="AN60" i="4"/>
  <c r="AL61" i="4" s="1"/>
  <c r="BD65" i="4" l="1"/>
  <c r="AX70" i="4"/>
  <c r="AC70" i="4"/>
  <c r="AD71" i="4" s="1"/>
  <c r="BG65" i="4"/>
  <c r="BI65" i="4" s="1"/>
  <c r="AJ61" i="4"/>
  <c r="AT71" i="4" l="1"/>
  <c r="AV71" i="4"/>
  <c r="AW71" i="4"/>
  <c r="AY71" i="4" s="1"/>
  <c r="Y71" i="4"/>
  <c r="AA71" i="4"/>
  <c r="AB71" i="4" s="1"/>
  <c r="AE71" i="4" s="1"/>
  <c r="BH65" i="4"/>
  <c r="BF66" i="4" s="1"/>
  <c r="AM61" i="4"/>
  <c r="AO61" i="4" s="1"/>
  <c r="AX71" i="4" l="1"/>
  <c r="AC71" i="4"/>
  <c r="Y72" i="4" s="1"/>
  <c r="BD66" i="4"/>
  <c r="BG66" i="4" s="1"/>
  <c r="AN61" i="4"/>
  <c r="AL62" i="4" s="1"/>
  <c r="AT72" i="4" l="1"/>
  <c r="AV72" i="4"/>
  <c r="AW72" i="4" s="1"/>
  <c r="AY72" i="4" s="1"/>
  <c r="AD72" i="4"/>
  <c r="AA72" i="4"/>
  <c r="AB72" i="4" s="1"/>
  <c r="AE72" i="4" s="1"/>
  <c r="BH66" i="4"/>
  <c r="BI66" i="4"/>
  <c r="AJ62" i="4"/>
  <c r="AX72" i="4" l="1"/>
  <c r="AC72" i="4"/>
  <c r="AD73" i="4" s="1"/>
  <c r="BF67" i="4"/>
  <c r="BD67" i="4"/>
  <c r="AM62" i="4"/>
  <c r="AO62" i="4" s="1"/>
  <c r="AA73" i="4" l="1"/>
  <c r="Y73" i="4"/>
  <c r="AT73" i="4"/>
  <c r="AV73" i="4"/>
  <c r="AW73" i="4" s="1"/>
  <c r="AY73" i="4" s="1"/>
  <c r="BG67" i="4"/>
  <c r="BI67" i="4" s="1"/>
  <c r="AN62" i="4"/>
  <c r="AL63" i="4" s="1"/>
  <c r="AB73" i="4" l="1"/>
  <c r="AE73" i="4" s="1"/>
  <c r="AX73" i="4"/>
  <c r="BH67" i="4"/>
  <c r="BF68" i="4" s="1"/>
  <c r="AJ63" i="4"/>
  <c r="AM63" i="4" s="1"/>
  <c r="AO63" i="4" s="1"/>
  <c r="AC73" i="4" l="1"/>
  <c r="AV74" i="4"/>
  <c r="AW74" i="4" s="1"/>
  <c r="AY74" i="4" s="1"/>
  <c r="AT74" i="4"/>
  <c r="BD68" i="4"/>
  <c r="BG68" i="4" s="1"/>
  <c r="BI68" i="4" s="1"/>
  <c r="AD74" i="4"/>
  <c r="AA74" i="4"/>
  <c r="Y74" i="4"/>
  <c r="AN63" i="4"/>
  <c r="AL64" i="4" s="1"/>
  <c r="AX74" i="4" l="1"/>
  <c r="BH68" i="4"/>
  <c r="BF69" i="4" s="1"/>
  <c r="AB74" i="4"/>
  <c r="AE74" i="4" s="1"/>
  <c r="AJ64" i="4"/>
  <c r="AT75" i="4" l="1"/>
  <c r="AX75" i="4" s="1"/>
  <c r="AV75" i="4"/>
  <c r="AW75" i="4" s="1"/>
  <c r="AY75" i="4" s="1"/>
  <c r="BD69" i="4"/>
  <c r="BG69" i="4" s="1"/>
  <c r="BI69" i="4" s="1"/>
  <c r="AC74" i="4"/>
  <c r="Y75" i="4" s="1"/>
  <c r="AM64" i="4"/>
  <c r="AO64" i="4" s="1"/>
  <c r="AV76" i="4" l="1"/>
  <c r="AW76" i="4"/>
  <c r="AY76" i="4" s="1"/>
  <c r="AT76" i="4"/>
  <c r="AX76" i="4" s="1"/>
  <c r="AA75" i="4"/>
  <c r="AB75" i="4" s="1"/>
  <c r="AE75" i="4" s="1"/>
  <c r="AD75" i="4"/>
  <c r="BH69" i="4"/>
  <c r="BF70" i="4" s="1"/>
  <c r="AN64" i="4"/>
  <c r="AL65" i="4" s="1"/>
  <c r="AV77" i="4" l="1"/>
  <c r="AT77" i="4"/>
  <c r="AC75" i="4"/>
  <c r="AD76" i="4" s="1"/>
  <c r="BD70" i="4"/>
  <c r="BG70" i="4" s="1"/>
  <c r="BI70" i="4" s="1"/>
  <c r="AJ65" i="4"/>
  <c r="AM65" i="4" s="1"/>
  <c r="AO65" i="4" s="1"/>
  <c r="AW77" i="4" l="1"/>
  <c r="AY77" i="4" s="1"/>
  <c r="AX77" i="4"/>
  <c r="AA76" i="4"/>
  <c r="Y76" i="4"/>
  <c r="BH70" i="4"/>
  <c r="BF71" i="4" s="1"/>
  <c r="AN65" i="4"/>
  <c r="AL66" i="4" s="1"/>
  <c r="AT78" i="4" l="1"/>
  <c r="AX78" i="4" s="1"/>
  <c r="AT79" i="4" s="1"/>
  <c r="AV78" i="4"/>
  <c r="AW78" i="4"/>
  <c r="AY78" i="4" s="1"/>
  <c r="AB76" i="4"/>
  <c r="AE76" i="4" s="1"/>
  <c r="BD71" i="4"/>
  <c r="AJ66" i="4"/>
  <c r="AV79" i="4" l="1"/>
  <c r="AW79" i="4"/>
  <c r="AY79" i="4" s="1"/>
  <c r="AC76" i="4"/>
  <c r="BG71" i="4"/>
  <c r="BI71" i="4" s="1"/>
  <c r="AM66" i="4"/>
  <c r="AO66" i="4" s="1"/>
  <c r="AX79" i="4" l="1"/>
  <c r="AA77" i="4"/>
  <c r="AD77" i="4"/>
  <c r="Y77" i="4"/>
  <c r="BH71" i="4"/>
  <c r="BF72" i="4" s="1"/>
  <c r="AN66" i="4"/>
  <c r="AL67" i="4" s="1"/>
  <c r="AB77" i="4" l="1"/>
  <c r="AE77" i="4" s="1"/>
  <c r="AV80" i="4"/>
  <c r="AT80" i="4"/>
  <c r="AW80" i="4"/>
  <c r="AY80" i="4" s="1"/>
  <c r="BD72" i="4"/>
  <c r="BG72" i="4" s="1"/>
  <c r="BI72" i="4" s="1"/>
  <c r="AJ67" i="4"/>
  <c r="AC77" i="4" l="1"/>
  <c r="AA78" i="4" s="1"/>
  <c r="AX80" i="4"/>
  <c r="BH72" i="4"/>
  <c r="BF73" i="4" s="1"/>
  <c r="AM67" i="4"/>
  <c r="AO67" i="4" s="1"/>
  <c r="AD78" i="4" l="1"/>
  <c r="Y78" i="4"/>
  <c r="AV81" i="4"/>
  <c r="AT81" i="4"/>
  <c r="AW81" i="4"/>
  <c r="AY81" i="4" s="1"/>
  <c r="AB78" i="4"/>
  <c r="AE78" i="4" s="1"/>
  <c r="BD73" i="4"/>
  <c r="BG73" i="4" s="1"/>
  <c r="BI73" i="4" s="1"/>
  <c r="AN67" i="4"/>
  <c r="AL68" i="4" s="1"/>
  <c r="AC78" i="4" l="1"/>
  <c r="AD79" i="4" s="1"/>
  <c r="AX81" i="4"/>
  <c r="BH73" i="4"/>
  <c r="BF74" i="4" s="1"/>
  <c r="AJ68" i="4"/>
  <c r="AA79" i="4" l="1"/>
  <c r="Y79" i="4"/>
  <c r="AT82" i="4"/>
  <c r="AV82" i="4"/>
  <c r="AW82" i="4" s="1"/>
  <c r="AY82" i="4" s="1"/>
  <c r="BD74" i="4"/>
  <c r="AM68" i="4"/>
  <c r="AO68" i="4" s="1"/>
  <c r="AB79" i="4" l="1"/>
  <c r="AE79" i="4" s="1"/>
  <c r="AX82" i="4"/>
  <c r="BG74" i="4"/>
  <c r="BI74" i="4" s="1"/>
  <c r="AN68" i="4"/>
  <c r="AL69" i="4" s="1"/>
  <c r="AC79" i="4" l="1"/>
  <c r="Y80" i="4" s="1"/>
  <c r="AT83" i="4"/>
  <c r="AV83" i="4"/>
  <c r="BH74" i="4"/>
  <c r="BF75" i="4" s="1"/>
  <c r="AJ69" i="4"/>
  <c r="AD80" i="4" l="1"/>
  <c r="AA80" i="4"/>
  <c r="AB80" i="4" s="1"/>
  <c r="AE80" i="4" s="1"/>
  <c r="AW83" i="4"/>
  <c r="AY83" i="4" s="1"/>
  <c r="AX83" i="4"/>
  <c r="BD75" i="4"/>
  <c r="BG75" i="4" s="1"/>
  <c r="BI75" i="4" s="1"/>
  <c r="AM69" i="4"/>
  <c r="AO69" i="4" s="1"/>
  <c r="AC80" i="4" l="1"/>
  <c r="Y81" i="4" s="1"/>
  <c r="AV84" i="4"/>
  <c r="AT84" i="4"/>
  <c r="BH75" i="4"/>
  <c r="BF76" i="4" s="1"/>
  <c r="AN69" i="4"/>
  <c r="AL70" i="4" s="1"/>
  <c r="AA81" i="4" l="1"/>
  <c r="AB81" i="4" s="1"/>
  <c r="AE81" i="4" s="1"/>
  <c r="AD81" i="4"/>
  <c r="AW84" i="4"/>
  <c r="AY84" i="4" s="1"/>
  <c r="BD76" i="4"/>
  <c r="BG76" i="4" s="1"/>
  <c r="BI76" i="4" s="1"/>
  <c r="AJ70" i="4"/>
  <c r="AC81" i="4" l="1"/>
  <c r="Y82" i="4" s="1"/>
  <c r="AX84" i="4"/>
  <c r="AT85" i="4" s="1"/>
  <c r="BH76" i="4"/>
  <c r="BF77" i="4" s="1"/>
  <c r="AM70" i="4"/>
  <c r="AO70" i="4" s="1"/>
  <c r="AA82" i="4" l="1"/>
  <c r="AB82" i="4" s="1"/>
  <c r="AE82" i="4" s="1"/>
  <c r="AD82" i="4"/>
  <c r="AV85" i="4"/>
  <c r="AW85" i="4" s="1"/>
  <c r="AY85" i="4" s="1"/>
  <c r="AX85" i="4"/>
  <c r="BD77" i="4"/>
  <c r="AN70" i="4"/>
  <c r="AL71" i="4" s="1"/>
  <c r="AC82" i="4" l="1"/>
  <c r="AD83" i="4" s="1"/>
  <c r="AV86" i="4"/>
  <c r="AT86" i="4"/>
  <c r="BG77" i="4"/>
  <c r="BI77" i="4" s="1"/>
  <c r="AJ71" i="4"/>
  <c r="Y83" i="4" l="1"/>
  <c r="AA83" i="4"/>
  <c r="AW86" i="4"/>
  <c r="AY86" i="4" s="1"/>
  <c r="BH77" i="4"/>
  <c r="BF78" i="4" s="1"/>
  <c r="AM71" i="4"/>
  <c r="AO71" i="4" s="1"/>
  <c r="AB83" i="4" l="1"/>
  <c r="AE83" i="4" s="1"/>
  <c r="AX86" i="4"/>
  <c r="BD78" i="4"/>
  <c r="BG78" i="4" s="1"/>
  <c r="AN71" i="4"/>
  <c r="AL72" i="4" s="1"/>
  <c r="AC83" i="4" l="1"/>
  <c r="AD84" i="4" s="1"/>
  <c r="AV87" i="4"/>
  <c r="AT87" i="4"/>
  <c r="BI78" i="4"/>
  <c r="BH78" i="4"/>
  <c r="BF79" i="4" s="1"/>
  <c r="AJ72" i="4"/>
  <c r="Y84" i="4" l="1"/>
  <c r="AA84" i="4"/>
  <c r="AW87" i="4"/>
  <c r="AY87" i="4" s="1"/>
  <c r="BD79" i="4"/>
  <c r="BG79" i="4" s="1"/>
  <c r="BI79" i="4" s="1"/>
  <c r="AM72" i="4"/>
  <c r="AO72" i="4" s="1"/>
  <c r="AB84" i="4" l="1"/>
  <c r="AE84" i="4" s="1"/>
  <c r="AX87" i="4"/>
  <c r="BH79" i="4"/>
  <c r="BF80" i="4" s="1"/>
  <c r="AN72" i="4"/>
  <c r="AL73" i="4" s="1"/>
  <c r="AC84" i="4" l="1"/>
  <c r="Y85" i="4" s="1"/>
  <c r="AT88" i="4"/>
  <c r="AV88" i="4"/>
  <c r="BD80" i="4"/>
  <c r="BG80" i="4" s="1"/>
  <c r="BI80" i="4" s="1"/>
  <c r="AJ73" i="4"/>
  <c r="AM73" i="4" s="1"/>
  <c r="AO73" i="4" s="1"/>
  <c r="AD85" i="4" l="1"/>
  <c r="AA85" i="4"/>
  <c r="AB85" i="4" s="1"/>
  <c r="AE85" i="4" s="1"/>
  <c r="AW88" i="4"/>
  <c r="AY88" i="4" s="1"/>
  <c r="BH80" i="4"/>
  <c r="AN73" i="4"/>
  <c r="AL74" i="4" s="1"/>
  <c r="AC85" i="4" l="1"/>
  <c r="AA86" i="4" s="1"/>
  <c r="AD86" i="4"/>
  <c r="BD81" i="4"/>
  <c r="BF81" i="4"/>
  <c r="BG81" i="4" s="1"/>
  <c r="AX88" i="4"/>
  <c r="AJ74" i="4"/>
  <c r="AM74" i="4" s="1"/>
  <c r="AO74" i="4" s="1"/>
  <c r="Y86" i="4" l="1"/>
  <c r="AB86" i="4" s="1"/>
  <c r="AE86" i="4" s="1"/>
  <c r="AV89" i="4"/>
  <c r="AT89" i="4"/>
  <c r="BI81" i="4"/>
  <c r="BH81" i="4"/>
  <c r="BF82" i="4" s="1"/>
  <c r="AN74" i="4"/>
  <c r="AL75" i="4" s="1"/>
  <c r="AC86" i="4" l="1"/>
  <c r="AD87" i="4" s="1"/>
  <c r="AW89" i="4"/>
  <c r="AY89" i="4" s="1"/>
  <c r="Y87" i="4"/>
  <c r="AA87" i="4"/>
  <c r="BD82" i="4"/>
  <c r="BG82" i="4" s="1"/>
  <c r="BI82" i="4" s="1"/>
  <c r="AJ75" i="4"/>
  <c r="AM75" i="4" s="1"/>
  <c r="AO75" i="4" s="1"/>
  <c r="AX89" i="4" l="1"/>
  <c r="AB87" i="4"/>
  <c r="AE87" i="4" s="1"/>
  <c r="BH82" i="4"/>
  <c r="BF83" i="4" s="1"/>
  <c r="AN75" i="4"/>
  <c r="AL76" i="4" s="1"/>
  <c r="AT90" i="4" l="1"/>
  <c r="AV90" i="4"/>
  <c r="AC87" i="4"/>
  <c r="BD83" i="4"/>
  <c r="BG83" i="4" s="1"/>
  <c r="BI83" i="4" s="1"/>
  <c r="AJ76" i="4"/>
  <c r="AW90" i="4" l="1"/>
  <c r="AY90" i="4" s="1"/>
  <c r="AD88" i="4"/>
  <c r="AA88" i="4"/>
  <c r="Y88" i="4"/>
  <c r="BH83" i="4"/>
  <c r="BF84" i="4" s="1"/>
  <c r="AM76" i="4"/>
  <c r="AO76" i="4" s="1"/>
  <c r="AB88" i="4" l="1"/>
  <c r="AE88" i="4" s="1"/>
  <c r="AX90" i="4"/>
  <c r="BD84" i="4"/>
  <c r="AN76" i="4"/>
  <c r="AL77" i="4" s="1"/>
  <c r="AC88" i="4" l="1"/>
  <c r="AD89" i="4" s="1"/>
  <c r="AV91" i="4"/>
  <c r="AT91" i="4"/>
  <c r="BG84" i="4"/>
  <c r="BI84" i="4" s="1"/>
  <c r="AJ77" i="4"/>
  <c r="AA89" i="4" l="1"/>
  <c r="Y89" i="4"/>
  <c r="AW91" i="4"/>
  <c r="AY91" i="4" s="1"/>
  <c r="BH84" i="4"/>
  <c r="BF85" i="4" s="1"/>
  <c r="AM77" i="4"/>
  <c r="AO77" i="4" s="1"/>
  <c r="AB89" i="4" l="1"/>
  <c r="AE89" i="4" s="1"/>
  <c r="AX91" i="4"/>
  <c r="BD85" i="4"/>
  <c r="BG85" i="4" s="1"/>
  <c r="AN77" i="4"/>
  <c r="AL78" i="4" s="1"/>
  <c r="AC89" i="4" l="1"/>
  <c r="AD90" i="4" s="1"/>
  <c r="AT92" i="4"/>
  <c r="AV92" i="4"/>
  <c r="AW92" i="4" s="1"/>
  <c r="AY92" i="4" s="1"/>
  <c r="BI85" i="4"/>
  <c r="BH85" i="4"/>
  <c r="BF86" i="4" s="1"/>
  <c r="AJ78" i="4"/>
  <c r="Y90" i="4" l="1"/>
  <c r="AA90" i="4"/>
  <c r="AX92" i="4"/>
  <c r="BD86" i="4"/>
  <c r="BG86" i="4" s="1"/>
  <c r="BI86" i="4" s="1"/>
  <c r="AM78" i="4"/>
  <c r="AO78" i="4" s="1"/>
  <c r="AB90" i="4" l="1"/>
  <c r="AE90" i="4" s="1"/>
  <c r="AV93" i="4"/>
  <c r="AT93" i="4"/>
  <c r="BH86" i="4"/>
  <c r="BF87" i="4" s="1"/>
  <c r="AN78" i="4"/>
  <c r="AL79" i="4" s="1"/>
  <c r="AC90" i="4" l="1"/>
  <c r="AD91" i="4" s="1"/>
  <c r="AW93" i="4"/>
  <c r="AY93" i="4" s="1"/>
  <c r="AX93" i="4"/>
  <c r="BD87" i="4"/>
  <c r="BG87" i="4" s="1"/>
  <c r="BI87" i="4" s="1"/>
  <c r="AJ79" i="4"/>
  <c r="AA91" i="4" l="1"/>
  <c r="Y91" i="4"/>
  <c r="AV94" i="4"/>
  <c r="AT94" i="4"/>
  <c r="BH87" i="4"/>
  <c r="BF88" i="4" s="1"/>
  <c r="AM79" i="4"/>
  <c r="AO79" i="4" s="1"/>
  <c r="AB91" i="4" l="1"/>
  <c r="AE91" i="4" s="1"/>
  <c r="AW94" i="4"/>
  <c r="AY94" i="4" s="1"/>
  <c r="BD88" i="4"/>
  <c r="BG88" i="4" s="1"/>
  <c r="BI88" i="4" s="1"/>
  <c r="AN79" i="4"/>
  <c r="AL80" i="4" s="1"/>
  <c r="AC91" i="4" l="1"/>
  <c r="Y92" i="4" s="1"/>
  <c r="AX94" i="4"/>
  <c r="BH88" i="4"/>
  <c r="BF89" i="4" s="1"/>
  <c r="AJ80" i="4"/>
  <c r="AD92" i="4" l="1"/>
  <c r="AA92" i="4"/>
  <c r="AB92" i="4" s="1"/>
  <c r="AE92" i="4" s="1"/>
  <c r="AV95" i="4"/>
  <c r="AT95" i="4"/>
  <c r="BD89" i="4"/>
  <c r="BG89" i="4" s="1"/>
  <c r="BI89" i="4" s="1"/>
  <c r="AM80" i="4"/>
  <c r="AO80" i="4" s="1"/>
  <c r="AC92" i="4" l="1"/>
  <c r="AA93" i="4" s="1"/>
  <c r="AW95" i="4"/>
  <c r="AY95" i="4" s="1"/>
  <c r="AX95" i="4"/>
  <c r="BH89" i="4"/>
  <c r="BF90" i="4" s="1"/>
  <c r="AN80" i="4"/>
  <c r="AL81" i="4" s="1"/>
  <c r="AD93" i="4" l="1"/>
  <c r="Y93" i="4"/>
  <c r="AB93" i="4"/>
  <c r="AE93" i="4" s="1"/>
  <c r="AV96" i="4"/>
  <c r="AT96" i="4"/>
  <c r="BD90" i="4"/>
  <c r="BG90" i="4" s="1"/>
  <c r="BI90" i="4" s="1"/>
  <c r="AJ81" i="4"/>
  <c r="AM81" i="4" s="1"/>
  <c r="AO81" i="4" s="1"/>
  <c r="AC93" i="4" l="1"/>
  <c r="AW96" i="4"/>
  <c r="AY96" i="4" s="1"/>
  <c r="AX96" i="4"/>
  <c r="BH90" i="4"/>
  <c r="BF91" i="4" s="1"/>
  <c r="AN81" i="4"/>
  <c r="AL82" i="4" s="1"/>
  <c r="AD94" i="4" l="1"/>
  <c r="Y94" i="4"/>
  <c r="AA94" i="4"/>
  <c r="AV97" i="4"/>
  <c r="AT97" i="4"/>
  <c r="AW97" i="4" s="1"/>
  <c r="AY97" i="4" s="1"/>
  <c r="BD91" i="4"/>
  <c r="BG91" i="4" s="1"/>
  <c r="AJ82" i="4"/>
  <c r="AB94" i="4" l="1"/>
  <c r="AE94" i="4" s="1"/>
  <c r="AX97" i="4"/>
  <c r="BI91" i="4"/>
  <c r="BH91" i="4"/>
  <c r="BF92" i="4" s="1"/>
  <c r="AM82" i="4"/>
  <c r="AO82" i="4" s="1"/>
  <c r="AC94" i="4" l="1"/>
  <c r="AA95" i="4" s="1"/>
  <c r="AT98" i="4"/>
  <c r="AV98" i="4"/>
  <c r="BD92" i="4"/>
  <c r="BG92" i="4" s="1"/>
  <c r="BI92" i="4" s="1"/>
  <c r="AN82" i="4"/>
  <c r="AL83" i="4" s="1"/>
  <c r="AD95" i="4" l="1"/>
  <c r="Y95" i="4"/>
  <c r="AB95" i="4" s="1"/>
  <c r="AE95" i="4" s="1"/>
  <c r="AW98" i="4"/>
  <c r="AY98" i="4" s="1"/>
  <c r="BH92" i="4"/>
  <c r="BF93" i="4" s="1"/>
  <c r="AJ83" i="4"/>
  <c r="AC95" i="4" l="1"/>
  <c r="AX98" i="4"/>
  <c r="BD93" i="4"/>
  <c r="BG93" i="4" s="1"/>
  <c r="BI93" i="4" s="1"/>
  <c r="AM83" i="4"/>
  <c r="AO83" i="4" s="1"/>
  <c r="AA96" i="4" l="1"/>
  <c r="Y96" i="4"/>
  <c r="AD96" i="4"/>
  <c r="AV99" i="4"/>
  <c r="AT99" i="4"/>
  <c r="BH93" i="4"/>
  <c r="BF94" i="4" s="1"/>
  <c r="AN83" i="4"/>
  <c r="AL84" i="4" s="1"/>
  <c r="AB96" i="4" l="1"/>
  <c r="AE96" i="4" s="1"/>
  <c r="AW99" i="4"/>
  <c r="AY99" i="4" s="1"/>
  <c r="BD94" i="4"/>
  <c r="BG94" i="4" s="1"/>
  <c r="BI94" i="4" s="1"/>
  <c r="AJ84" i="4"/>
  <c r="AC96" i="4" l="1"/>
  <c r="AA97" i="4" s="1"/>
  <c r="AX99" i="4"/>
  <c r="BH94" i="4"/>
  <c r="BF95" i="4" s="1"/>
  <c r="AM84" i="4"/>
  <c r="AO84" i="4" s="1"/>
  <c r="Y97" i="4" l="1"/>
  <c r="AB97" i="4" s="1"/>
  <c r="AE97" i="4" s="1"/>
  <c r="AD97" i="4"/>
  <c r="AV100" i="4"/>
  <c r="AT100" i="4"/>
  <c r="BD95" i="4"/>
  <c r="BG95" i="4" s="1"/>
  <c r="BI95" i="4" s="1"/>
  <c r="AN84" i="4"/>
  <c r="AL85" i="4" s="1"/>
  <c r="AC97" i="4" l="1"/>
  <c r="AD98" i="4" s="1"/>
  <c r="AW100" i="4"/>
  <c r="AY100" i="4" s="1"/>
  <c r="BH95" i="4"/>
  <c r="BF96" i="4" s="1"/>
  <c r="AJ85" i="4"/>
  <c r="AA98" i="4" l="1"/>
  <c r="Y98" i="4"/>
  <c r="AX100" i="4"/>
  <c r="BD96" i="4"/>
  <c r="BG96" i="4" s="1"/>
  <c r="BI96" i="4" s="1"/>
  <c r="AM85" i="4"/>
  <c r="AO85" i="4" s="1"/>
  <c r="AB98" i="4" l="1"/>
  <c r="AE98" i="4" s="1"/>
  <c r="AV101" i="4"/>
  <c r="AT101" i="4"/>
  <c r="BH96" i="4"/>
  <c r="BF97" i="4" s="1"/>
  <c r="AN85" i="4"/>
  <c r="AL86" i="4" s="1"/>
  <c r="AC98" i="4" l="1"/>
  <c r="AA99" i="4" s="1"/>
  <c r="AW101" i="4"/>
  <c r="AY101" i="4" s="1"/>
  <c r="BD97" i="4"/>
  <c r="BG97" i="4" s="1"/>
  <c r="BI97" i="4" s="1"/>
  <c r="AJ86" i="4"/>
  <c r="Y99" i="4" l="1"/>
  <c r="AB99" i="4" s="1"/>
  <c r="AE99" i="4" s="1"/>
  <c r="AD99" i="4"/>
  <c r="AX101" i="4"/>
  <c r="BH97" i="4"/>
  <c r="BF98" i="4" s="1"/>
  <c r="AM86" i="4"/>
  <c r="AO86" i="4" s="1"/>
  <c r="AC99" i="4" l="1"/>
  <c r="Y100" i="4" s="1"/>
  <c r="AV102" i="4"/>
  <c r="AT102" i="4"/>
  <c r="AW102" i="4" s="1"/>
  <c r="AY102" i="4" s="1"/>
  <c r="BD98" i="4"/>
  <c r="BG98" i="4" s="1"/>
  <c r="BI98" i="4" s="1"/>
  <c r="AN86" i="4"/>
  <c r="AL87" i="4" s="1"/>
  <c r="AA100" i="4" l="1"/>
  <c r="AB100" i="4" s="1"/>
  <c r="AE100" i="4" s="1"/>
  <c r="AD100" i="4"/>
  <c r="AX102" i="4"/>
  <c r="BH98" i="4"/>
  <c r="BF99" i="4" s="1"/>
  <c r="AJ87" i="4"/>
  <c r="AM87" i="4" s="1"/>
  <c r="AO87" i="4" s="1"/>
  <c r="AC100" i="4" l="1"/>
  <c r="AT103" i="4"/>
  <c r="AV103" i="4"/>
  <c r="BD99" i="4"/>
  <c r="AN87" i="4"/>
  <c r="AL88" i="4" s="1"/>
  <c r="AA101" i="4" l="1"/>
  <c r="Y101" i="4"/>
  <c r="AD101" i="4"/>
  <c r="AW103" i="4"/>
  <c r="AY103" i="4" s="1"/>
  <c r="BG99" i="4"/>
  <c r="BI99" i="4" s="1"/>
  <c r="AJ88" i="4"/>
  <c r="AB101" i="4" l="1"/>
  <c r="AE101" i="4" s="1"/>
  <c r="AX103" i="4"/>
  <c r="BH99" i="4"/>
  <c r="BF100" i="4" s="1"/>
  <c r="AM88" i="4"/>
  <c r="AO88" i="4" s="1"/>
  <c r="AC101" i="4" l="1"/>
  <c r="AA102" i="4" s="1"/>
  <c r="AT104" i="4"/>
  <c r="AV104" i="4"/>
  <c r="BD100" i="4"/>
  <c r="AN88" i="4"/>
  <c r="AL89" i="4" s="1"/>
  <c r="Y102" i="4" l="1"/>
  <c r="AB102" i="4" s="1"/>
  <c r="AE102" i="4" s="1"/>
  <c r="AD102" i="4"/>
  <c r="AW104" i="4"/>
  <c r="AY104" i="4" s="1"/>
  <c r="BG100" i="4"/>
  <c r="BI100" i="4" s="1"/>
  <c r="AJ89" i="4"/>
  <c r="AC102" i="4" l="1"/>
  <c r="AD103" i="4" s="1"/>
  <c r="AX104" i="4"/>
  <c r="BH100" i="4"/>
  <c r="BF101" i="4" s="1"/>
  <c r="AM89" i="4"/>
  <c r="AO89" i="4" s="1"/>
  <c r="Y103" i="4" l="1"/>
  <c r="AA103" i="4"/>
  <c r="AB103" i="4" s="1"/>
  <c r="AV105" i="4"/>
  <c r="AT105" i="4"/>
  <c r="AW105" i="4"/>
  <c r="AY105" i="4" s="1"/>
  <c r="BD101" i="4"/>
  <c r="AN89" i="4"/>
  <c r="AL90" i="4" s="1"/>
  <c r="AE103" i="4" l="1"/>
  <c r="AC103" i="4"/>
  <c r="AX105" i="4"/>
  <c r="BG101" i="4"/>
  <c r="BI101" i="4" s="1"/>
  <c r="AJ90" i="4"/>
  <c r="AD104" i="4" l="1"/>
  <c r="AA104" i="4"/>
  <c r="Y104" i="4"/>
  <c r="AT106" i="4"/>
  <c r="AV106" i="4"/>
  <c r="AW106" i="4" s="1"/>
  <c r="AY106" i="4" s="1"/>
  <c r="BH101" i="4"/>
  <c r="BF102" i="4" s="1"/>
  <c r="AM90" i="4"/>
  <c r="AO90" i="4" s="1"/>
  <c r="AB104" i="4" l="1"/>
  <c r="AE104" i="4" s="1"/>
  <c r="AX106" i="4"/>
  <c r="BD102" i="4"/>
  <c r="AN90" i="4"/>
  <c r="AL91" i="4" s="1"/>
  <c r="AC104" i="4" l="1"/>
  <c r="AD105" i="4"/>
  <c r="AA105" i="4"/>
  <c r="Y105" i="4"/>
  <c r="AV107" i="4"/>
  <c r="AT107" i="4"/>
  <c r="BG102" i="4"/>
  <c r="BI102" i="4" s="1"/>
  <c r="AJ91" i="4"/>
  <c r="AM91" i="4" s="1"/>
  <c r="AO91" i="4" s="1"/>
  <c r="AB105" i="4" l="1"/>
  <c r="AE105" i="4" s="1"/>
  <c r="AW107" i="4"/>
  <c r="AY107" i="4" s="1"/>
  <c r="BH102" i="4"/>
  <c r="BF103" i="4" s="1"/>
  <c r="AN91" i="4"/>
  <c r="AL92" i="4" s="1"/>
  <c r="AC105" i="4" l="1"/>
  <c r="Y106" i="4" s="1"/>
  <c r="AX107" i="4"/>
  <c r="AV108" i="4" s="1"/>
  <c r="AW108" i="4" s="1"/>
  <c r="AY108" i="4" s="1"/>
  <c r="BD103" i="4"/>
  <c r="BG103" i="4" s="1"/>
  <c r="BI103" i="4" s="1"/>
  <c r="AJ92" i="4"/>
  <c r="AD106" i="4" l="1"/>
  <c r="AA106" i="4"/>
  <c r="AB106" i="4" s="1"/>
  <c r="AE106" i="4" s="1"/>
  <c r="AT108" i="4"/>
  <c r="AX108" i="4" s="1"/>
  <c r="BH103" i="4"/>
  <c r="BF104" i="4" s="1"/>
  <c r="AM92" i="4"/>
  <c r="AO92" i="4" s="1"/>
  <c r="AC106" i="4" l="1"/>
  <c r="Y107" i="4" s="1"/>
  <c r="AV109" i="4"/>
  <c r="AT109" i="4"/>
  <c r="BD104" i="4"/>
  <c r="BG104" i="4" s="1"/>
  <c r="BI104" i="4" s="1"/>
  <c r="AN92" i="4"/>
  <c r="AL93" i="4" s="1"/>
  <c r="AD107" i="4" l="1"/>
  <c r="AA107" i="4"/>
  <c r="AB107" i="4" s="1"/>
  <c r="AE107" i="4" s="1"/>
  <c r="AW109" i="4"/>
  <c r="AY109" i="4" s="1"/>
  <c r="AX109" i="4"/>
  <c r="BH104" i="4"/>
  <c r="BF105" i="4" s="1"/>
  <c r="AJ93" i="4"/>
  <c r="AC107" i="4" l="1"/>
  <c r="AD108" i="4" s="1"/>
  <c r="AV110" i="4"/>
  <c r="AT110" i="4"/>
  <c r="BD105" i="4"/>
  <c r="BG105" i="4" s="1"/>
  <c r="BI105" i="4" s="1"/>
  <c r="AM93" i="4"/>
  <c r="AO93" i="4" s="1"/>
  <c r="AA108" i="4" l="1"/>
  <c r="Y108" i="4"/>
  <c r="AB108" i="4" s="1"/>
  <c r="AW110" i="4"/>
  <c r="AY110" i="4" s="1"/>
  <c r="BH105" i="4"/>
  <c r="BF106" i="4" s="1"/>
  <c r="AN93" i="4"/>
  <c r="AL94" i="4" s="1"/>
  <c r="AE108" i="4" l="1"/>
  <c r="AC108" i="4"/>
  <c r="AD109" i="4" s="1"/>
  <c r="Y109" i="4"/>
  <c r="AX110" i="4"/>
  <c r="BD106" i="4"/>
  <c r="BG106" i="4" s="1"/>
  <c r="BI106" i="4" s="1"/>
  <c r="AJ94" i="4"/>
  <c r="AM94" i="4" s="1"/>
  <c r="AO94" i="4" s="1"/>
  <c r="AA109" i="4" l="1"/>
  <c r="AB109" i="4"/>
  <c r="AE109" i="4" s="1"/>
  <c r="AV111" i="4"/>
  <c r="AT111" i="4"/>
  <c r="AW111" i="4" s="1"/>
  <c r="AY111" i="4" s="1"/>
  <c r="BH106" i="4"/>
  <c r="BF107" i="4" s="1"/>
  <c r="AN94" i="4"/>
  <c r="AL95" i="4" s="1"/>
  <c r="AC109" i="4" l="1"/>
  <c r="AX111" i="4"/>
  <c r="BD107" i="4"/>
  <c r="BG107" i="4" s="1"/>
  <c r="BI107" i="4" s="1"/>
  <c r="AJ95" i="4"/>
  <c r="AM95" i="4" s="1"/>
  <c r="AO95" i="4" s="1"/>
  <c r="AA110" i="4" l="1"/>
  <c r="Y110" i="4"/>
  <c r="AD110" i="4"/>
  <c r="AT112" i="4"/>
  <c r="AV112" i="4"/>
  <c r="BH107" i="4"/>
  <c r="BF108" i="4" s="1"/>
  <c r="AN95" i="4"/>
  <c r="AL96" i="4" s="1"/>
  <c r="AB110" i="4" l="1"/>
  <c r="AE110" i="4" s="1"/>
  <c r="AW112" i="4"/>
  <c r="AY112" i="4" s="1"/>
  <c r="AY116" i="4" s="1"/>
  <c r="AV116" i="4" s="1"/>
  <c r="BD108" i="4"/>
  <c r="BG108" i="4" s="1"/>
  <c r="BI108" i="4" s="1"/>
  <c r="AJ96" i="4"/>
  <c r="AM96" i="4" s="1"/>
  <c r="AO96" i="4" s="1"/>
  <c r="AC110" i="4" l="1"/>
  <c r="AA111" i="4" s="1"/>
  <c r="AX112" i="4"/>
  <c r="BH108" i="4"/>
  <c r="BF109" i="4" s="1"/>
  <c r="AN96" i="4"/>
  <c r="AL97" i="4" s="1"/>
  <c r="AD111" i="4" l="1"/>
  <c r="Y111" i="4"/>
  <c r="AB111" i="4" s="1"/>
  <c r="AE111" i="4" s="1"/>
  <c r="BD109" i="4"/>
  <c r="BG109" i="4" s="1"/>
  <c r="BI109" i="4" s="1"/>
  <c r="AJ97" i="4"/>
  <c r="AC111" i="4" l="1"/>
  <c r="AD112" i="4" s="1"/>
  <c r="BH109" i="4"/>
  <c r="BF110" i="4" s="1"/>
  <c r="AM97" i="4"/>
  <c r="AO97" i="4" s="1"/>
  <c r="Y112" i="4" l="1"/>
  <c r="AA112" i="4"/>
  <c r="BD110" i="4"/>
  <c r="BG110" i="4" s="1"/>
  <c r="BI110" i="4" s="1"/>
  <c r="AN97" i="4"/>
  <c r="AL98" i="4" s="1"/>
  <c r="AB112" i="4" l="1"/>
  <c r="AE112" i="4" s="1"/>
  <c r="AE116" i="4" s="1"/>
  <c r="AD116" i="4" s="1"/>
  <c r="BH110" i="4"/>
  <c r="BF111" i="4" s="1"/>
  <c r="AJ98" i="4"/>
  <c r="AC112" i="4" l="1"/>
  <c r="E51" i="4"/>
  <c r="D51" i="4" s="1"/>
  <c r="AV118" i="4"/>
  <c r="BD111" i="4"/>
  <c r="BG111" i="4" s="1"/>
  <c r="BI111" i="4" s="1"/>
  <c r="AM98" i="4"/>
  <c r="AO98" i="4" s="1"/>
  <c r="BH111" i="4" l="1"/>
  <c r="BF112" i="4" s="1"/>
  <c r="AN98" i="4"/>
  <c r="AL99" i="4" s="1"/>
  <c r="BD112" i="4" l="1"/>
  <c r="BG112" i="4" s="1"/>
  <c r="BI112" i="4" s="1"/>
  <c r="BI116" i="4" s="1"/>
  <c r="BF116" i="4" s="1"/>
  <c r="J51" i="4" s="1"/>
  <c r="AJ99" i="4"/>
  <c r="AM99" i="4" s="1"/>
  <c r="AO99" i="4" s="1"/>
  <c r="BF118" i="4" l="1"/>
  <c r="BH112" i="4"/>
  <c r="AN99" i="4"/>
  <c r="AL100" i="4" s="1"/>
  <c r="AJ100" i="4" l="1"/>
  <c r="AM100" i="4" l="1"/>
  <c r="AO100" i="4" s="1"/>
  <c r="AN100" i="4" l="1"/>
  <c r="AL101" i="4" s="1"/>
  <c r="AJ101" i="4" l="1"/>
  <c r="AM101" i="4" l="1"/>
  <c r="AO101" i="4" s="1"/>
  <c r="AN101" i="4" l="1"/>
  <c r="AL102" i="4" s="1"/>
  <c r="AJ102" i="4" l="1"/>
  <c r="AM102" i="4" l="1"/>
  <c r="AO102" i="4" s="1"/>
  <c r="AN102" i="4" l="1"/>
  <c r="AL103" i="4" s="1"/>
  <c r="AJ103" i="4" l="1"/>
  <c r="AM103" i="4" l="1"/>
  <c r="AO103" i="4" s="1"/>
  <c r="AN103" i="4" l="1"/>
  <c r="AL104" i="4" s="1"/>
  <c r="AJ104" i="4" l="1"/>
  <c r="AM104" i="4" s="1"/>
  <c r="AO104" i="4" s="1"/>
  <c r="AN104" i="4" l="1"/>
  <c r="AL105" i="4" s="1"/>
  <c r="AJ105" i="4" l="1"/>
  <c r="AM105" i="4" l="1"/>
  <c r="AO105" i="4" s="1"/>
  <c r="AN105" i="4" l="1"/>
  <c r="AL106" i="4" s="1"/>
  <c r="AJ106" i="4" l="1"/>
  <c r="AM106" i="4" s="1"/>
  <c r="AO106" i="4" s="1"/>
  <c r="AN106" i="4" l="1"/>
  <c r="AL107" i="4" s="1"/>
  <c r="AJ107" i="4" l="1"/>
  <c r="AM107" i="4" l="1"/>
  <c r="AO107" i="4" s="1"/>
  <c r="AN107" i="4" l="1"/>
  <c r="AL108" i="4" s="1"/>
  <c r="AJ108" i="4" l="1"/>
  <c r="AM108" i="4" l="1"/>
  <c r="AO108" i="4" s="1"/>
  <c r="AN108" i="4" l="1"/>
  <c r="AL109" i="4" s="1"/>
  <c r="AJ109" i="4" l="1"/>
  <c r="AM109" i="4" l="1"/>
  <c r="AO109" i="4" s="1"/>
  <c r="AN109" i="4" l="1"/>
  <c r="AL110" i="4" s="1"/>
  <c r="AJ110" i="4" l="1"/>
  <c r="AM110" i="4" l="1"/>
  <c r="AO110" i="4" s="1"/>
  <c r="AN110" i="4" l="1"/>
  <c r="AL111" i="4" s="1"/>
  <c r="AJ111" i="4" l="1"/>
  <c r="AM111" i="4" s="1"/>
  <c r="AO111" i="4" s="1"/>
  <c r="AN111" i="4" l="1"/>
  <c r="AL112" i="4" s="1"/>
  <c r="AJ112" i="4" l="1"/>
  <c r="AM112" i="4" l="1"/>
  <c r="AO112" i="4" s="1"/>
  <c r="AO116" i="4" s="1"/>
  <c r="AL116" i="4" l="1"/>
  <c r="AL118" i="4" s="1"/>
  <c r="AN112" i="4"/>
  <c r="E60" i="4"/>
  <c r="H51" i="4" l="1"/>
  <c r="G51" i="4" l="1"/>
</calcChain>
</file>

<file path=xl/sharedStrings.xml><?xml version="1.0" encoding="utf-8"?>
<sst xmlns="http://schemas.openxmlformats.org/spreadsheetml/2006/main" count="254" uniqueCount="81">
  <si>
    <t>Age</t>
  </si>
  <si>
    <t>Current age</t>
  </si>
  <si>
    <t>Contributions</t>
  </si>
  <si>
    <t>Filing status</t>
  </si>
  <si>
    <t>Tax rate</t>
  </si>
  <si>
    <t>Taxes owed</t>
  </si>
  <si>
    <t>Retirement age</t>
  </si>
  <si>
    <t>From</t>
  </si>
  <si>
    <t>To</t>
  </si>
  <si>
    <t>Taxes owed in each category</t>
  </si>
  <si>
    <t>Married filing jointly 2023</t>
  </si>
  <si>
    <t>Total Taxes Owed</t>
  </si>
  <si>
    <t>Contribution</t>
  </si>
  <si>
    <t>Withdrawal</t>
  </si>
  <si>
    <t>Beg Balance</t>
  </si>
  <si>
    <t>Ending Balance</t>
  </si>
  <si>
    <t>Interest Earned</t>
  </si>
  <si>
    <t>Standard deduction</t>
  </si>
  <si>
    <t>Standard deduction (2023)</t>
  </si>
  <si>
    <t>Inflation Rate</t>
  </si>
  <si>
    <t>Single filers 2023</t>
  </si>
  <si>
    <t>Standard deduction 2023</t>
  </si>
  <si>
    <t>Married filing separately 2023</t>
  </si>
  <si>
    <t>Head of household 2023</t>
  </si>
  <si>
    <t>Single</t>
  </si>
  <si>
    <t>Married</t>
  </si>
  <si>
    <t>Married filing separately</t>
  </si>
  <si>
    <t>Head of household</t>
  </si>
  <si>
    <t>Sum</t>
  </si>
  <si>
    <t>Current annual income</t>
  </si>
  <si>
    <t>Annual contributions (pre tax)</t>
  </si>
  <si>
    <t>Income after standard deduction</t>
  </si>
  <si>
    <t>Taxes saved each year</t>
  </si>
  <si>
    <t>Taxes owed with contribution</t>
  </si>
  <si>
    <t>Income w/ contributions</t>
  </si>
  <si>
    <t>Income after SD and contribution</t>
  </si>
  <si>
    <t>Overages</t>
  </si>
  <si>
    <t>Total Disbursements</t>
  </si>
  <si>
    <t>Traditional 401k Calculation</t>
  </si>
  <si>
    <t>After-tax income</t>
  </si>
  <si>
    <t>Total after-tax disbursements:</t>
  </si>
  <si>
    <t>Roth 401k Calculation (matching net 401k contribution)</t>
  </si>
  <si>
    <t>Roth 401k Calculation (matching 401k contribution with effective tax rate)</t>
  </si>
  <si>
    <t>Roth 401k Calculation (matching gross 401k contribution)</t>
  </si>
  <si>
    <t>Match 401k gross contribution</t>
  </si>
  <si>
    <t>contribution</t>
  </si>
  <si>
    <t>(but you're contributing an additional $2,200 a year with this method to get your gains. You could get the same results with the 401k if you just invested $XXX amount (which is probably less)).</t>
  </si>
  <si>
    <t>401k Balance</t>
  </si>
  <si>
    <t>Same out of pocket Roth Balance</t>
  </si>
  <si>
    <t>Taxes owed without Contribution</t>
  </si>
  <si>
    <t>Taxes owed with Contribution</t>
  </si>
  <si>
    <t>Current Year Tax Impact</t>
  </si>
  <si>
    <t>Taxes at Retirement</t>
  </si>
  <si>
    <t>Traditional</t>
  </si>
  <si>
    <t>Roth</t>
  </si>
  <si>
    <t>Effective tax rate on the gross</t>
  </si>
  <si>
    <t>Tax rate of the savings</t>
  </si>
  <si>
    <t xml:space="preserve">Resulting 401k distributions: </t>
  </si>
  <si>
    <t>If invest full amount…</t>
  </si>
  <si>
    <t>Taxes owed with Roth Investment</t>
  </si>
  <si>
    <t>Annual investment growth</t>
  </si>
  <si>
    <t>Annual growth less inflation</t>
  </si>
  <si>
    <t>Annual tax savings with contribution</t>
  </si>
  <si>
    <t>Net distributions after taxes</t>
  </si>
  <si>
    <t>Taxable Income</t>
  </si>
  <si>
    <t>Income per bracket</t>
  </si>
  <si>
    <t>(Equivalent Roth Contribution)</t>
  </si>
  <si>
    <t>Taxes owed post investment</t>
  </si>
  <si>
    <t>Roth 401k vs Traditional 401k Calculator</t>
  </si>
  <si>
    <t>Roth taxes owed:</t>
  </si>
  <si>
    <t>401k taxes owed:</t>
  </si>
  <si>
    <t>2023 Income Tax Brackets: Taxes Owed with 401k Contribution vs. with Roth Contribution</t>
  </si>
  <si>
    <t>Full salary (Roth)</t>
  </si>
  <si>
    <t>Salary less contribution (401k)</t>
  </si>
  <si>
    <t>Total with 401k</t>
  </si>
  <si>
    <t>Total with Roth</t>
  </si>
  <si>
    <t>Interest</t>
  </si>
  <si>
    <r>
      <rPr>
        <b/>
        <sz val="12"/>
        <color theme="1"/>
        <rFont val="Calibri"/>
        <family val="2"/>
        <scheme val="minor"/>
      </rPr>
      <t>Instructions:</t>
    </r>
    <r>
      <rPr>
        <sz val="12"/>
        <color theme="1"/>
        <rFont val="Calibri"/>
        <family val="2"/>
        <scheme val="minor"/>
      </rPr>
      <t xml:space="preserve"> Simply replace the numbers in the </t>
    </r>
    <r>
      <rPr>
        <b/>
        <sz val="12"/>
        <color rgb="FF34AC81"/>
        <rFont val="Calibri (Body)"/>
      </rPr>
      <t>green</t>
    </r>
    <r>
      <rPr>
        <sz val="12"/>
        <color theme="1"/>
        <rFont val="Calibri"/>
        <family val="2"/>
        <scheme val="minor"/>
      </rPr>
      <t xml:space="preserve"> cells below with your own and see which investment account is right for you: a Roth 401k or a Traditional 401k.</t>
    </r>
  </si>
  <si>
    <t>Yearly withdrawal (today's dollars)</t>
  </si>
  <si>
    <t xml:space="preserve">            Total distributions</t>
  </si>
  <si>
    <t xml:space="preserve">             (per the chart)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</si>
</sst>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0.0%"/>
    <numFmt numFmtId="166" formatCode="_(&quot;$&quot;* #,##0_);_(&quot;$&quot;* \(#,##0\);_(&quot;$&quot;* &quot;-&quot;??_);_(@_)"/>
    <numFmt numFmtId="167" formatCode="&quot;$&quot;#,##0"/>
  </numFmts>
  <fonts count="2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Helvetica Neue"/>
      <family val="2"/>
    </font>
    <font>
      <sz val="12"/>
      <color theme="1"/>
      <name val="Helvetica Neue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rgb="FF34AC81"/>
      <name val="Calibri (Body)"/>
    </font>
    <font>
      <b/>
      <u/>
      <sz val="14"/>
      <color theme="1"/>
      <name val="Calibri"/>
      <family val="2"/>
      <scheme val="minor"/>
    </font>
    <font>
      <sz val="12"/>
      <color theme="0"/>
      <name val="Helvetica Neue"/>
      <family val="2"/>
    </font>
    <font>
      <b/>
      <sz val="24"/>
      <color theme="1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sz val="12"/>
      <color theme="0" tint="-4.9989318521683403E-2"/>
      <name val="Helvetica Neue"/>
      <family val="2"/>
    </font>
    <font>
      <sz val="12"/>
      <color theme="0" tint="-4.9989318521683403E-2"/>
      <name val="Helvetica Neue"/>
      <family val="2"/>
    </font>
    <font>
      <i/>
      <sz val="12"/>
      <color theme="0" tint="-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2"/>
      <color theme="0"/>
      <name val="Helvetica Neue"/>
      <family val="2"/>
    </font>
    <font>
      <b/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4AC8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44" fontId="4" fillId="0" borderId="0" xfId="1" applyFont="1"/>
    <xf numFmtId="0" fontId="2" fillId="0" borderId="0" xfId="0" applyFont="1" applyAlignment="1">
      <alignment horizontal="center"/>
    </xf>
    <xf numFmtId="44" fontId="2" fillId="0" borderId="0" xfId="0" applyNumberFormat="1" applyFont="1"/>
    <xf numFmtId="164" fontId="0" fillId="0" borderId="0" xfId="0" applyNumberFormat="1"/>
    <xf numFmtId="164" fontId="0" fillId="0" borderId="0" xfId="0" applyNumberFormat="1" applyAlignment="1">
      <alignment horizontal="center"/>
    </xf>
    <xf numFmtId="166" fontId="0" fillId="0" borderId="0" xfId="1" applyNumberFormat="1" applyFont="1"/>
    <xf numFmtId="44" fontId="0" fillId="0" borderId="0" xfId="0" applyNumberFormat="1"/>
    <xf numFmtId="165" fontId="0" fillId="0" borderId="0" xfId="2" applyNumberFormat="1" applyFont="1" applyFill="1" applyAlignment="1">
      <alignment horizontal="center"/>
    </xf>
    <xf numFmtId="0" fontId="0" fillId="0" borderId="0" xfId="0" applyAlignment="1">
      <alignment horizontal="left" indent="1"/>
    </xf>
    <xf numFmtId="0" fontId="7" fillId="0" borderId="0" xfId="0" applyFont="1"/>
    <xf numFmtId="164" fontId="7" fillId="0" borderId="0" xfId="0" applyNumberFormat="1" applyFont="1" applyAlignment="1">
      <alignment horizontal="center"/>
    </xf>
    <xf numFmtId="0" fontId="0" fillId="0" borderId="0" xfId="0" quotePrefix="1"/>
    <xf numFmtId="164" fontId="7" fillId="0" borderId="0" xfId="0" applyNumberFormat="1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/>
    <xf numFmtId="165" fontId="2" fillId="0" borderId="0" xfId="2" applyNumberFormat="1" applyFont="1" applyAlignment="1">
      <alignment horizontal="center"/>
    </xf>
    <xf numFmtId="0" fontId="5" fillId="0" borderId="0" xfId="0" applyFont="1"/>
    <xf numFmtId="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 indent="2"/>
    </xf>
    <xf numFmtId="0" fontId="10" fillId="0" borderId="0" xfId="0" applyFont="1" applyAlignment="1">
      <alignment horizontal="left" indent="2"/>
    </xf>
    <xf numFmtId="0" fontId="11" fillId="0" borderId="0" xfId="0" applyFont="1"/>
    <xf numFmtId="0" fontId="0" fillId="0" borderId="0" xfId="0" applyAlignment="1">
      <alignment horizontal="left"/>
    </xf>
    <xf numFmtId="9" fontId="0" fillId="0" borderId="0" xfId="2" applyFont="1" applyAlignment="1">
      <alignment horizontal="center"/>
    </xf>
    <xf numFmtId="167" fontId="0" fillId="0" borderId="0" xfId="1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2" fillId="0" borderId="0" xfId="0" applyNumberFormat="1" applyFont="1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67" fontId="12" fillId="0" borderId="0" xfId="1" applyNumberFormat="1" applyFont="1" applyAlignment="1">
      <alignment horizontal="center"/>
    </xf>
    <xf numFmtId="0" fontId="8" fillId="2" borderId="0" xfId="0" applyFont="1" applyFill="1" applyAlignment="1">
      <alignment horizontal="center"/>
    </xf>
    <xf numFmtId="167" fontId="10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 horizontal="center"/>
    </xf>
    <xf numFmtId="167" fontId="11" fillId="0" borderId="0" xfId="1" applyNumberFormat="1" applyFont="1" applyFill="1" applyAlignment="1">
      <alignment horizontal="center"/>
    </xf>
    <xf numFmtId="167" fontId="1" fillId="0" borderId="0" xfId="1" applyNumberFormat="1" applyFont="1" applyFill="1" applyAlignment="1">
      <alignment horizontal="center"/>
    </xf>
    <xf numFmtId="167" fontId="8" fillId="2" borderId="0" xfId="1" applyNumberFormat="1" applyFont="1" applyFill="1" applyAlignment="1">
      <alignment horizontal="center"/>
    </xf>
    <xf numFmtId="9" fontId="8" fillId="2" borderId="0" xfId="0" applyNumberFormat="1" applyFont="1" applyFill="1" applyAlignment="1">
      <alignment horizontal="center"/>
    </xf>
    <xf numFmtId="0" fontId="5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44" fontId="15" fillId="0" borderId="0" xfId="1" applyFont="1" applyBorder="1"/>
    <xf numFmtId="165" fontId="7" fillId="0" borderId="0" xfId="2" applyNumberFormat="1" applyFont="1" applyBorder="1"/>
    <xf numFmtId="0" fontId="8" fillId="0" borderId="0" xfId="0" applyFont="1" applyAlignment="1">
      <alignment horizontal="right"/>
    </xf>
    <xf numFmtId="167" fontId="7" fillId="0" borderId="0" xfId="0" applyNumberFormat="1" applyFont="1"/>
    <xf numFmtId="0" fontId="16" fillId="0" borderId="0" xfId="0" applyFont="1"/>
    <xf numFmtId="167" fontId="7" fillId="0" borderId="0" xfId="0" applyNumberFormat="1" applyFont="1" applyAlignment="1">
      <alignment horizontal="center"/>
    </xf>
    <xf numFmtId="0" fontId="17" fillId="0" borderId="0" xfId="0" applyFont="1"/>
    <xf numFmtId="166" fontId="17" fillId="0" borderId="0" xfId="1" applyNumberFormat="1" applyFont="1"/>
    <xf numFmtId="0" fontId="19" fillId="0" borderId="0" xfId="0" applyFont="1"/>
    <xf numFmtId="44" fontId="20" fillId="0" borderId="0" xfId="1" applyFont="1"/>
    <xf numFmtId="44" fontId="18" fillId="0" borderId="0" xfId="0" applyNumberFormat="1" applyFont="1"/>
    <xf numFmtId="44" fontId="17" fillId="0" borderId="0" xfId="0" applyNumberFormat="1" applyFont="1"/>
    <xf numFmtId="0" fontId="18" fillId="0" borderId="0" xfId="0" applyFont="1"/>
    <xf numFmtId="164" fontId="18" fillId="0" borderId="0" xfId="0" applyNumberFormat="1" applyFont="1"/>
    <xf numFmtId="0" fontId="21" fillId="0" borderId="0" xfId="0" applyFont="1"/>
    <xf numFmtId="165" fontId="21" fillId="0" borderId="0" xfId="2" applyNumberFormat="1" applyFont="1"/>
    <xf numFmtId="164" fontId="17" fillId="0" borderId="0" xfId="0" applyNumberFormat="1" applyFont="1"/>
    <xf numFmtId="44" fontId="17" fillId="0" borderId="0" xfId="1" applyFont="1"/>
    <xf numFmtId="0" fontId="22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167" fontId="0" fillId="0" borderId="0" xfId="0" applyNumberFormat="1"/>
    <xf numFmtId="0" fontId="24" fillId="0" borderId="0" xfId="0" applyFont="1"/>
    <xf numFmtId="44" fontId="15" fillId="0" borderId="0" xfId="1" applyFont="1"/>
    <xf numFmtId="44" fontId="8" fillId="0" borderId="0" xfId="0" applyNumberFormat="1" applyFont="1"/>
    <xf numFmtId="0" fontId="25" fillId="0" borderId="0" xfId="0" applyFont="1"/>
    <xf numFmtId="0" fontId="8" fillId="0" borderId="0" xfId="0" applyFont="1" applyAlignment="1">
      <alignment horizontal="center"/>
    </xf>
    <xf numFmtId="166" fontId="7" fillId="0" borderId="0" xfId="1" applyNumberFormat="1" applyFont="1"/>
    <xf numFmtId="9" fontId="15" fillId="0" borderId="0" xfId="0" applyNumberFormat="1" applyFont="1"/>
    <xf numFmtId="0" fontId="15" fillId="0" borderId="0" xfId="0" applyFont="1"/>
    <xf numFmtId="44" fontId="7" fillId="0" borderId="0" xfId="0" applyNumberFormat="1" applyFont="1"/>
    <xf numFmtId="0" fontId="8" fillId="0" borderId="0" xfId="0" applyFont="1"/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CF4FB"/>
      <color rgb="FF19533D"/>
      <color rgb="FF34AC81"/>
      <color rgb="FF3FDDA9"/>
      <color rgb="FFD9DFE5"/>
      <color rgb="FFCED3DA"/>
      <color rgb="FF3CC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5"/>
          <c:order val="0"/>
          <c:tx>
            <c:v>401k</c:v>
          </c:tx>
          <c:spPr>
            <a:solidFill>
              <a:srgbClr val="34AC81"/>
            </a:solidFill>
            <a:ln>
              <a:noFill/>
            </a:ln>
            <a:effectLst/>
          </c:spPr>
          <c:cat>
            <c:numRef>
              <c:f>[0]!Labels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54</c:v>
                </c:pt>
                <c:pt idx="18">
                  <c:v>55</c:v>
                </c:pt>
                <c:pt idx="19">
                  <c:v>56</c:v>
                </c:pt>
                <c:pt idx="20">
                  <c:v>57</c:v>
                </c:pt>
                <c:pt idx="21">
                  <c:v>58</c:v>
                </c:pt>
                <c:pt idx="22">
                  <c:v>59</c:v>
                </c:pt>
                <c:pt idx="23">
                  <c:v>60</c:v>
                </c:pt>
                <c:pt idx="24">
                  <c:v>61</c:v>
                </c:pt>
                <c:pt idx="25">
                  <c:v>62</c:v>
                </c:pt>
                <c:pt idx="26">
                  <c:v>63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67</c:v>
                </c:pt>
                <c:pt idx="31">
                  <c:v>68</c:v>
                </c:pt>
                <c:pt idx="32">
                  <c:v>69</c:v>
                </c:pt>
                <c:pt idx="33">
                  <c:v>70</c:v>
                </c:pt>
                <c:pt idx="34">
                  <c:v>71</c:v>
                </c:pt>
                <c:pt idx="35">
                  <c:v>72</c:v>
                </c:pt>
                <c:pt idx="36">
                  <c:v>73</c:v>
                </c:pt>
                <c:pt idx="37">
                  <c:v>74</c:v>
                </c:pt>
                <c:pt idx="38">
                  <c:v>75</c:v>
                </c:pt>
                <c:pt idx="39">
                  <c:v>76</c:v>
                </c:pt>
                <c:pt idx="40">
                  <c:v>77</c:v>
                </c:pt>
                <c:pt idx="41">
                  <c:v>78</c:v>
                </c:pt>
                <c:pt idx="42">
                  <c:v>79</c:v>
                </c:pt>
                <c:pt idx="43">
                  <c:v>80</c:v>
                </c:pt>
                <c:pt idx="44">
                  <c:v>81</c:v>
                </c:pt>
                <c:pt idx="45">
                  <c:v>82</c:v>
                </c:pt>
                <c:pt idx="46">
                  <c:v>83</c:v>
                </c:pt>
                <c:pt idx="47">
                  <c:v>84</c:v>
                </c:pt>
                <c:pt idx="48">
                  <c:v>85</c:v>
                </c:pt>
                <c:pt idx="49">
                  <c:v>86</c:v>
                </c:pt>
                <c:pt idx="50">
                  <c:v>87</c:v>
                </c:pt>
                <c:pt idx="51">
                  <c:v>88</c:v>
                </c:pt>
                <c:pt idx="52">
                  <c:v>89</c:v>
                </c:pt>
              </c:numCache>
            </c:numRef>
          </c:cat>
          <c:val>
            <c:numRef>
              <c:f>[0]!V401KValues</c:f>
              <c:numCache>
                <c:formatCode>"$"#,##0.00</c:formatCode>
                <c:ptCount val="53"/>
                <c:pt idx="0">
                  <c:v>10700</c:v>
                </c:pt>
                <c:pt idx="1">
                  <c:v>22149</c:v>
                </c:pt>
                <c:pt idx="2">
                  <c:v>34399.43</c:v>
                </c:pt>
                <c:pt idx="3">
                  <c:v>47507.390100000004</c:v>
                </c:pt>
                <c:pt idx="4">
                  <c:v>61532.907407000006</c:v>
                </c:pt>
                <c:pt idx="5">
                  <c:v>76540.210925490013</c:v>
                </c:pt>
                <c:pt idx="6">
                  <c:v>92598.025690274313</c:v>
                </c:pt>
                <c:pt idx="7">
                  <c:v>109779.88748859352</c:v>
                </c:pt>
                <c:pt idx="8">
                  <c:v>128164.47961279507</c:v>
                </c:pt>
                <c:pt idx="9">
                  <c:v>147835.99318569072</c:v>
                </c:pt>
                <c:pt idx="10">
                  <c:v>168884.51270868909</c:v>
                </c:pt>
                <c:pt idx="11">
                  <c:v>191406.42859829732</c:v>
                </c:pt>
                <c:pt idx="12">
                  <c:v>215504.87860017814</c:v>
                </c:pt>
                <c:pt idx="13">
                  <c:v>241290.22010219062</c:v>
                </c:pt>
                <c:pt idx="14">
                  <c:v>268880.53550934396</c:v>
                </c:pt>
                <c:pt idx="15">
                  <c:v>298402.17299499805</c:v>
                </c:pt>
                <c:pt idx="16">
                  <c:v>329990.3251046479</c:v>
                </c:pt>
                <c:pt idx="17">
                  <c:v>363789.64786197327</c:v>
                </c:pt>
                <c:pt idx="18">
                  <c:v>399954.92321231141</c:v>
                </c:pt>
                <c:pt idx="19">
                  <c:v>438651.76783717319</c:v>
                </c:pt>
                <c:pt idx="20">
                  <c:v>480057.3915857753</c:v>
                </c:pt>
                <c:pt idx="21">
                  <c:v>524361.40899677959</c:v>
                </c:pt>
                <c:pt idx="22">
                  <c:v>571766.70762655418</c:v>
                </c:pt>
                <c:pt idx="23">
                  <c:v>622490.37716041296</c:v>
                </c:pt>
                <c:pt idx="24">
                  <c:v>676764.70356164186</c:v>
                </c:pt>
                <c:pt idx="25">
                  <c:v>734838.23281095678</c:v>
                </c:pt>
                <c:pt idx="26">
                  <c:v>796976.90910772374</c:v>
                </c:pt>
                <c:pt idx="27">
                  <c:v>863465.29274526436</c:v>
                </c:pt>
                <c:pt idx="28">
                  <c:v>849007.8632374329</c:v>
                </c:pt>
                <c:pt idx="29">
                  <c:v>833538.41366405319</c:v>
                </c:pt>
                <c:pt idx="30">
                  <c:v>816986.10262053693</c:v>
                </c:pt>
                <c:pt idx="31">
                  <c:v>799275.12980397453</c:v>
                </c:pt>
                <c:pt idx="32">
                  <c:v>780324.3888902528</c:v>
                </c:pt>
                <c:pt idx="33">
                  <c:v>760047.09611257049</c:v>
                </c:pt>
                <c:pt idx="34">
                  <c:v>738350.3928404504</c:v>
                </c:pt>
                <c:pt idx="35">
                  <c:v>715134.9203392819</c:v>
                </c:pt>
                <c:pt idx="36">
                  <c:v>690294.3647630316</c:v>
                </c:pt>
                <c:pt idx="37">
                  <c:v>663714.97029644379</c:v>
                </c:pt>
                <c:pt idx="38">
                  <c:v>635275.01821719483</c:v>
                </c:pt>
                <c:pt idx="39">
                  <c:v>604844.26949239848</c:v>
                </c:pt>
                <c:pt idx="40">
                  <c:v>572283.36835686641</c:v>
                </c:pt>
                <c:pt idx="41">
                  <c:v>537443.20414184709</c:v>
                </c:pt>
                <c:pt idx="42">
                  <c:v>500164.2284317764</c:v>
                </c:pt>
                <c:pt idx="43">
                  <c:v>460275.72442200076</c:v>
                </c:pt>
                <c:pt idx="44">
                  <c:v>417595.02513154084</c:v>
                </c:pt>
                <c:pt idx="45">
                  <c:v>371926.67689074867</c:v>
                </c:pt>
                <c:pt idx="46">
                  <c:v>323061.54427310108</c:v>
                </c:pt>
                <c:pt idx="47">
                  <c:v>270775.85237221816</c:v>
                </c:pt>
                <c:pt idx="48">
                  <c:v>214830.16203827344</c:v>
                </c:pt>
                <c:pt idx="49">
                  <c:v>154968.2733809526</c:v>
                </c:pt>
                <c:pt idx="50">
                  <c:v>90916.052517619275</c:v>
                </c:pt>
                <c:pt idx="51">
                  <c:v>22380.176193852625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AE-5F45-943F-2534041AD423}"/>
            </c:ext>
          </c:extLst>
        </c:ser>
        <c:ser>
          <c:idx val="0"/>
          <c:order val="1"/>
          <c:tx>
            <c:v>Roth for 401k equivalent</c:v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[0]!Labels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54</c:v>
                </c:pt>
                <c:pt idx="18">
                  <c:v>55</c:v>
                </c:pt>
                <c:pt idx="19">
                  <c:v>56</c:v>
                </c:pt>
                <c:pt idx="20">
                  <c:v>57</c:v>
                </c:pt>
                <c:pt idx="21">
                  <c:v>58</c:v>
                </c:pt>
                <c:pt idx="22">
                  <c:v>59</c:v>
                </c:pt>
                <c:pt idx="23">
                  <c:v>60</c:v>
                </c:pt>
                <c:pt idx="24">
                  <c:v>61</c:v>
                </c:pt>
                <c:pt idx="25">
                  <c:v>62</c:v>
                </c:pt>
                <c:pt idx="26">
                  <c:v>63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67</c:v>
                </c:pt>
                <c:pt idx="31">
                  <c:v>68</c:v>
                </c:pt>
                <c:pt idx="32">
                  <c:v>69</c:v>
                </c:pt>
                <c:pt idx="33">
                  <c:v>70</c:v>
                </c:pt>
                <c:pt idx="34">
                  <c:v>71</c:v>
                </c:pt>
                <c:pt idx="35">
                  <c:v>72</c:v>
                </c:pt>
                <c:pt idx="36">
                  <c:v>73</c:v>
                </c:pt>
                <c:pt idx="37">
                  <c:v>74</c:v>
                </c:pt>
                <c:pt idx="38">
                  <c:v>75</c:v>
                </c:pt>
                <c:pt idx="39">
                  <c:v>76</c:v>
                </c:pt>
                <c:pt idx="40">
                  <c:v>77</c:v>
                </c:pt>
                <c:pt idx="41">
                  <c:v>78</c:v>
                </c:pt>
                <c:pt idx="42">
                  <c:v>79</c:v>
                </c:pt>
                <c:pt idx="43">
                  <c:v>80</c:v>
                </c:pt>
                <c:pt idx="44">
                  <c:v>81</c:v>
                </c:pt>
                <c:pt idx="45">
                  <c:v>82</c:v>
                </c:pt>
                <c:pt idx="46">
                  <c:v>83</c:v>
                </c:pt>
                <c:pt idx="47">
                  <c:v>84</c:v>
                </c:pt>
                <c:pt idx="48">
                  <c:v>85</c:v>
                </c:pt>
                <c:pt idx="49">
                  <c:v>86</c:v>
                </c:pt>
                <c:pt idx="50">
                  <c:v>87</c:v>
                </c:pt>
                <c:pt idx="51">
                  <c:v>88</c:v>
                </c:pt>
                <c:pt idx="52">
                  <c:v>89</c:v>
                </c:pt>
              </c:numCache>
            </c:numRef>
          </c:cat>
          <c:val>
            <c:numRef>
              <c:f>'Traditional 401k vs Roth'!$AX$9:$AX$112</c:f>
            </c:numRef>
          </c:val>
          <c:extLst>
            <c:ext xmlns:c16="http://schemas.microsoft.com/office/drawing/2014/chart" uri="{C3380CC4-5D6E-409C-BE32-E72D297353CC}">
              <c16:uniqueId val="{00000008-06AE-5F45-943F-2534041AD423}"/>
            </c:ext>
          </c:extLst>
        </c:ser>
        <c:ser>
          <c:idx val="1"/>
          <c:order val="2"/>
          <c:tx>
            <c:v>Roth</c:v>
          </c:tx>
          <c:spPr>
            <a:solidFill>
              <a:srgbClr val="D9DFE5">
                <a:alpha val="80000"/>
              </a:srgbClr>
            </a:solidFill>
            <a:ln w="25400">
              <a:noFill/>
            </a:ln>
            <a:effectLst/>
          </c:spPr>
          <c:cat>
            <c:numRef>
              <c:f>[0]!Labels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54</c:v>
                </c:pt>
                <c:pt idx="18">
                  <c:v>55</c:v>
                </c:pt>
                <c:pt idx="19">
                  <c:v>56</c:v>
                </c:pt>
                <c:pt idx="20">
                  <c:v>57</c:v>
                </c:pt>
                <c:pt idx="21">
                  <c:v>58</c:v>
                </c:pt>
                <c:pt idx="22">
                  <c:v>59</c:v>
                </c:pt>
                <c:pt idx="23">
                  <c:v>60</c:v>
                </c:pt>
                <c:pt idx="24">
                  <c:v>61</c:v>
                </c:pt>
                <c:pt idx="25">
                  <c:v>62</c:v>
                </c:pt>
                <c:pt idx="26">
                  <c:v>63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67</c:v>
                </c:pt>
                <c:pt idx="31">
                  <c:v>68</c:v>
                </c:pt>
                <c:pt idx="32">
                  <c:v>69</c:v>
                </c:pt>
                <c:pt idx="33">
                  <c:v>70</c:v>
                </c:pt>
                <c:pt idx="34">
                  <c:v>71</c:v>
                </c:pt>
                <c:pt idx="35">
                  <c:v>72</c:v>
                </c:pt>
                <c:pt idx="36">
                  <c:v>73</c:v>
                </c:pt>
                <c:pt idx="37">
                  <c:v>74</c:v>
                </c:pt>
                <c:pt idx="38">
                  <c:v>75</c:v>
                </c:pt>
                <c:pt idx="39">
                  <c:v>76</c:v>
                </c:pt>
                <c:pt idx="40">
                  <c:v>77</c:v>
                </c:pt>
                <c:pt idx="41">
                  <c:v>78</c:v>
                </c:pt>
                <c:pt idx="42">
                  <c:v>79</c:v>
                </c:pt>
                <c:pt idx="43">
                  <c:v>80</c:v>
                </c:pt>
                <c:pt idx="44">
                  <c:v>81</c:v>
                </c:pt>
                <c:pt idx="45">
                  <c:v>82</c:v>
                </c:pt>
                <c:pt idx="46">
                  <c:v>83</c:v>
                </c:pt>
                <c:pt idx="47">
                  <c:v>84</c:v>
                </c:pt>
                <c:pt idx="48">
                  <c:v>85</c:v>
                </c:pt>
                <c:pt idx="49">
                  <c:v>86</c:v>
                </c:pt>
                <c:pt idx="50">
                  <c:v>87</c:v>
                </c:pt>
                <c:pt idx="51">
                  <c:v>88</c:v>
                </c:pt>
                <c:pt idx="52">
                  <c:v>89</c:v>
                </c:pt>
              </c:numCache>
            </c:numRef>
          </c:cat>
          <c:val>
            <c:numRef>
              <c:f>[0]!RothValues</c:f>
              <c:numCache>
                <c:formatCode>"$"#,##0.00</c:formatCode>
                <c:ptCount val="45"/>
                <c:pt idx="0">
                  <c:v>8346</c:v>
                </c:pt>
                <c:pt idx="1">
                  <c:v>17276.22</c:v>
                </c:pt>
                <c:pt idx="2">
                  <c:v>26831.555400000001</c:v>
                </c:pt>
                <c:pt idx="3">
                  <c:v>37055.764277999995</c:v>
                </c:pt>
                <c:pt idx="4">
                  <c:v>47995.667777459996</c:v>
                </c:pt>
                <c:pt idx="5">
                  <c:v>59701.364521882198</c:v>
                </c:pt>
                <c:pt idx="6">
                  <c:v>72226.460038413963</c:v>
                </c:pt>
                <c:pt idx="7">
                  <c:v>85628.312241102947</c:v>
                </c:pt>
                <c:pt idx="8">
                  <c:v>99968.29409798015</c:v>
                </c:pt>
                <c:pt idx="9">
                  <c:v>115312.07468483876</c:v>
                </c:pt>
                <c:pt idx="10">
                  <c:v>131729.91991277749</c:v>
                </c:pt>
                <c:pt idx="11">
                  <c:v>149297.01430667192</c:v>
                </c:pt>
                <c:pt idx="12">
                  <c:v>168093.80530813895</c:v>
                </c:pt>
                <c:pt idx="13">
                  <c:v>188206.37167970868</c:v>
                </c:pt>
                <c:pt idx="14">
                  <c:v>209726.81769728829</c:v>
                </c:pt>
                <c:pt idx="15">
                  <c:v>232753.69493609847</c:v>
                </c:pt>
                <c:pt idx="16">
                  <c:v>257392.45358162536</c:v>
                </c:pt>
                <c:pt idx="17">
                  <c:v>283755.92533233913</c:v>
                </c:pt>
                <c:pt idx="18">
                  <c:v>311964.84010560287</c:v>
                </c:pt>
                <c:pt idx="19">
                  <c:v>342148.37891299505</c:v>
                </c:pt>
                <c:pt idx="20">
                  <c:v>374444.76543690468</c:v>
                </c:pt>
                <c:pt idx="21">
                  <c:v>409001.899017488</c:v>
                </c:pt>
                <c:pt idx="22">
                  <c:v>445978.03194871219</c:v>
                </c:pt>
                <c:pt idx="23">
                  <c:v>485542.49418512202</c:v>
                </c:pt>
                <c:pt idx="24">
                  <c:v>527876.46877808054</c:v>
                </c:pt>
                <c:pt idx="25">
                  <c:v>573173.82159254618</c:v>
                </c:pt>
                <c:pt idx="26">
                  <c:v>621641.98910402437</c:v>
                </c:pt>
                <c:pt idx="27">
                  <c:v>673502.92834130605</c:v>
                </c:pt>
                <c:pt idx="28">
                  <c:v>650739.68332519743</c:v>
                </c:pt>
                <c:pt idx="29">
                  <c:v>626383.01115796121</c:v>
                </c:pt>
                <c:pt idx="30">
                  <c:v>600321.37193901849</c:v>
                </c:pt>
                <c:pt idx="31">
                  <c:v>572435.41797474981</c:v>
                </c:pt>
                <c:pt idx="32">
                  <c:v>542597.44723298226</c:v>
                </c:pt>
                <c:pt idx="33">
                  <c:v>510670.81853929104</c:v>
                </c:pt>
                <c:pt idx="34">
                  <c:v>476509.32583704143</c:v>
                </c:pt>
                <c:pt idx="35">
                  <c:v>439956.5286456343</c:v>
                </c:pt>
                <c:pt idx="36">
                  <c:v>400845.03565082868</c:v>
                </c:pt>
                <c:pt idx="37">
                  <c:v>358995.73814638669</c:v>
                </c:pt>
                <c:pt idx="38">
                  <c:v>314216.98981663375</c:v>
                </c:pt>
                <c:pt idx="39">
                  <c:v>266303.7291037981</c:v>
                </c:pt>
                <c:pt idx="40">
                  <c:v>215036.54014106398</c:v>
                </c:pt>
                <c:pt idx="41">
                  <c:v>160180.64795093847</c:v>
                </c:pt>
                <c:pt idx="42">
                  <c:v>101484.84330750415</c:v>
                </c:pt>
                <c:pt idx="43">
                  <c:v>38680.332339029446</c:v>
                </c:pt>
                <c:pt idx="4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E0-B449-B2E7-D0A0B84D7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458319"/>
        <c:axId val="256338223"/>
      </c:areaChart>
      <c:catAx>
        <c:axId val="256458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338223"/>
        <c:crosses val="autoZero"/>
        <c:auto val="1"/>
        <c:lblAlgn val="ctr"/>
        <c:lblOffset val="100"/>
        <c:noMultiLvlLbl val="0"/>
      </c:catAx>
      <c:valAx>
        <c:axId val="2563382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CF4FB"/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45831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94020253320095"/>
          <c:y val="4.3891010746388334E-2"/>
          <c:w val="8.2708913722233324E-2"/>
          <c:h val="0.23645885292713509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tx1"/>
                </a:solidFill>
              </a:rPr>
              <a:t>Roth 401k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3FDDA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735-5D4E-B089-840BEF8866EB}"/>
              </c:ext>
            </c:extLst>
          </c:dPt>
          <c:dPt>
            <c:idx val="1"/>
            <c:bubble3D val="0"/>
            <c:spPr>
              <a:solidFill>
                <a:srgbClr val="34AC8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735-5D4E-B089-840BEF8866EB}"/>
              </c:ext>
            </c:extLst>
          </c:dPt>
          <c:val>
            <c:numRef>
              <c:f>'Traditional 401k vs Roth'!$C$51:$D$51</c:f>
              <c:numCache>
                <c:formatCode>"$"#,##0</c:formatCode>
                <c:ptCount val="2"/>
                <c:pt idx="0">
                  <c:v>280000</c:v>
                </c:pt>
                <c:pt idx="1">
                  <c:v>1308928.6973089338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35-5D4E-B089-840BEF886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tx1"/>
                </a:solidFill>
              </a:rPr>
              <a:t>Traditional 401k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v>Traditional 401k</c:v>
          </c:tx>
          <c:dPt>
            <c:idx val="0"/>
            <c:bubble3D val="0"/>
            <c:spPr>
              <a:solidFill>
                <a:srgbClr val="3FDDA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28B-0F49-A782-DEA60C3FF54D}"/>
              </c:ext>
            </c:extLst>
          </c:dPt>
          <c:dPt>
            <c:idx val="1"/>
            <c:bubble3D val="0"/>
            <c:spPr>
              <a:solidFill>
                <a:srgbClr val="34AC8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28B-0F49-A782-DEA60C3FF54D}"/>
              </c:ext>
            </c:extLst>
          </c:dPt>
          <c:val>
            <c:numRef>
              <c:f>'Traditional 401k vs Roth'!$F$51:$G$51</c:f>
              <c:numCache>
                <c:formatCode>"$"#,##0</c:formatCode>
                <c:ptCount val="2"/>
                <c:pt idx="0">
                  <c:v>218400</c:v>
                </c:pt>
                <c:pt idx="1">
                  <c:v>865640.33233902953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8B-0F49-A782-DEA60C3FF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image" Target="../media/image2.png"/><Relationship Id="rId5" Type="http://schemas.openxmlformats.org/officeDocument/2006/relationships/hyperlink" Target="https://lifeandmyfinances.com/" TargetMode="Externa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139700</xdr:colOff>
      <xdr:row>2</xdr:row>
      <xdr:rowOff>0</xdr:rowOff>
    </xdr:from>
    <xdr:to>
      <xdr:col>13</xdr:col>
      <xdr:colOff>914400</xdr:colOff>
      <xdr:row>12</xdr:row>
      <xdr:rowOff>88900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32DE34A4-DD62-DF02-F9F3-181E7B7B24C6}"/>
            </a:ext>
          </a:extLst>
        </xdr:cNvPr>
        <xdr:cNvSpPr/>
      </xdr:nvSpPr>
      <xdr:spPr>
        <a:xfrm>
          <a:off x="12636500" y="406400"/>
          <a:ext cx="2895600" cy="23749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65950"/>
          </a:blip>
          <a:srcRect/>
          <a:stretch>
            <a:fillRect/>
          </a:stretch>
        </a:blip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520700</xdr:colOff>
      <xdr:row>14</xdr:row>
      <xdr:rowOff>50800</xdr:rowOff>
    </xdr:from>
    <xdr:to>
      <xdr:col>14</xdr:col>
      <xdr:colOff>127000</xdr:colOff>
      <xdr:row>29</xdr:row>
      <xdr:rowOff>49306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7007997-0836-EFBC-7736-C2BD000E75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806450</xdr:colOff>
      <xdr:row>2</xdr:row>
      <xdr:rowOff>0</xdr:rowOff>
    </xdr:from>
    <xdr:to>
      <xdr:col>11</xdr:col>
      <xdr:colOff>1041400</xdr:colOff>
      <xdr:row>13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CCB9904-098F-02D7-CAA6-1295B503EA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457200</xdr:colOff>
      <xdr:row>7</xdr:row>
      <xdr:rowOff>12700</xdr:rowOff>
    </xdr:from>
    <xdr:to>
      <xdr:col>11</xdr:col>
      <xdr:colOff>63500</xdr:colOff>
      <xdr:row>8</xdr:row>
      <xdr:rowOff>50800</xdr:rowOff>
    </xdr:to>
    <xdr:sp macro="" textlink="$H$51">
      <xdr:nvSpPr>
        <xdr:cNvPr id="7" name="Rectangle 6">
          <a:extLst>
            <a:ext uri="{FF2B5EF4-FFF2-40B4-BE49-F238E27FC236}">
              <a16:creationId xmlns:a16="http://schemas.microsoft.com/office/drawing/2014/main" id="{E2791C58-EEA3-AC67-AAF3-DFD100EB6122}"/>
            </a:ext>
          </a:extLst>
        </xdr:cNvPr>
        <xdr:cNvSpPr/>
      </xdr:nvSpPr>
      <xdr:spPr>
        <a:xfrm>
          <a:off x="10121900" y="1790700"/>
          <a:ext cx="1308100" cy="1651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5ECB6FB6-7BE2-7444-928E-6955B069E598}" type="TxLink">
            <a:rPr lang="en-US" sz="14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$1,084,040</a:t>
          </a:fld>
          <a:endParaRPr lang="en-US" sz="1400" b="1"/>
        </a:p>
      </xdr:txBody>
    </xdr:sp>
    <xdr:clientData/>
  </xdr:twoCellAnchor>
  <xdr:twoCellAnchor>
    <xdr:from>
      <xdr:col>6</xdr:col>
      <xdr:colOff>482600</xdr:colOff>
      <xdr:row>1</xdr:row>
      <xdr:rowOff>317500</xdr:rowOff>
    </xdr:from>
    <xdr:to>
      <xdr:col>10</xdr:col>
      <xdr:colOff>6350</xdr:colOff>
      <xdr:row>12</xdr:row>
      <xdr:rowOff>215900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5DBECA8-9F65-354B-B28B-5EA170E7CE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819150</xdr:colOff>
      <xdr:row>6</xdr:row>
      <xdr:rowOff>215900</xdr:rowOff>
    </xdr:from>
    <xdr:to>
      <xdr:col>9</xdr:col>
      <xdr:colOff>273050</xdr:colOff>
      <xdr:row>8</xdr:row>
      <xdr:rowOff>50800</xdr:rowOff>
    </xdr:to>
    <xdr:sp macro="" textlink="$E$51">
      <xdr:nvSpPr>
        <xdr:cNvPr id="9" name="Rectangle 8">
          <a:extLst>
            <a:ext uri="{FF2B5EF4-FFF2-40B4-BE49-F238E27FC236}">
              <a16:creationId xmlns:a16="http://schemas.microsoft.com/office/drawing/2014/main" id="{7CC93B00-5728-B147-ABE0-E8459E47B8E4}"/>
            </a:ext>
          </a:extLst>
        </xdr:cNvPr>
        <xdr:cNvSpPr/>
      </xdr:nvSpPr>
      <xdr:spPr>
        <a:xfrm>
          <a:off x="7207250" y="1765300"/>
          <a:ext cx="1308100" cy="190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6B636711-CA9A-4A43-AB59-1D82317BEF3D}" type="TxLink">
            <a:rPr lang="en-US" sz="14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$1,588,929</a:t>
          </a:fld>
          <a:endParaRPr lang="en-US" sz="1600" b="1"/>
        </a:p>
      </xdr:txBody>
    </xdr:sp>
    <xdr:clientData/>
  </xdr:twoCellAnchor>
  <xdr:twoCellAnchor>
    <xdr:from>
      <xdr:col>12</xdr:col>
      <xdr:colOff>127000</xdr:colOff>
      <xdr:row>2</xdr:row>
      <xdr:rowOff>0</xdr:rowOff>
    </xdr:from>
    <xdr:to>
      <xdr:col>13</xdr:col>
      <xdr:colOff>939800</xdr:colOff>
      <xdr:row>12</xdr:row>
      <xdr:rowOff>101600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67CA186-9F27-4D87-6CE1-011EEA710809}"/>
            </a:ext>
          </a:extLst>
        </xdr:cNvPr>
        <xdr:cNvSpPr txBox="1"/>
      </xdr:nvSpPr>
      <xdr:spPr>
        <a:xfrm>
          <a:off x="12623800" y="406400"/>
          <a:ext cx="2933700" cy="2387600"/>
        </a:xfrm>
        <a:prstGeom prst="rect">
          <a:avLst/>
        </a:prstGeom>
        <a:solidFill>
          <a:srgbClr val="19533D">
            <a:alpha val="78039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b="0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215900</xdr:colOff>
      <xdr:row>3</xdr:row>
      <xdr:rowOff>63500</xdr:rowOff>
    </xdr:from>
    <xdr:to>
      <xdr:col>13</xdr:col>
      <xdr:colOff>863600</xdr:colOff>
      <xdr:row>7</xdr:row>
      <xdr:rowOff>12700</xdr:rowOff>
    </xdr:to>
    <xdr:sp macro="" textlink="$E$56">
      <xdr:nvSpPr>
        <xdr:cNvPr id="12" name="TextBox 11">
          <a:extLst>
            <a:ext uri="{FF2B5EF4-FFF2-40B4-BE49-F238E27FC236}">
              <a16:creationId xmlns:a16="http://schemas.microsoft.com/office/drawing/2014/main" id="{83192BF3-BA78-9DAF-F097-AF5FF181A770}"/>
            </a:ext>
          </a:extLst>
        </xdr:cNvPr>
        <xdr:cNvSpPr txBox="1"/>
      </xdr:nvSpPr>
      <xdr:spPr>
        <a:xfrm>
          <a:off x="12712700" y="673100"/>
          <a:ext cx="2768600" cy="1117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58CEFB4E-9AE1-9F40-876E-B6193D36F28E}" type="TxLink">
            <a:rPr lang="en-US" sz="1600" b="1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Based on your inputs and assumptions, you should invest in a</a:t>
          </a:fld>
          <a:endParaRPr lang="en-US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228600</xdr:colOff>
      <xdr:row>6</xdr:row>
      <xdr:rowOff>139700</xdr:rowOff>
    </xdr:from>
    <xdr:to>
      <xdr:col>13</xdr:col>
      <xdr:colOff>863600</xdr:colOff>
      <xdr:row>12</xdr:row>
      <xdr:rowOff>63500</xdr:rowOff>
    </xdr:to>
    <xdr:sp macro="" textlink="$E$57">
      <xdr:nvSpPr>
        <xdr:cNvPr id="13" name="TextBox 12">
          <a:extLst>
            <a:ext uri="{FF2B5EF4-FFF2-40B4-BE49-F238E27FC236}">
              <a16:creationId xmlns:a16="http://schemas.microsoft.com/office/drawing/2014/main" id="{40EEF2D1-B5AF-BB42-A63C-14FD7C8B380E}"/>
            </a:ext>
          </a:extLst>
        </xdr:cNvPr>
        <xdr:cNvSpPr txBox="1"/>
      </xdr:nvSpPr>
      <xdr:spPr>
        <a:xfrm>
          <a:off x="12725400" y="1689100"/>
          <a:ext cx="275590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79A32E23-2A15-E34E-9FAA-3E6CB3575B41}" type="TxLink">
            <a:rPr lang="en-US" sz="2000" b="1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Traditional 401k</a:t>
          </a:fld>
          <a:endParaRPr lang="en-US" sz="18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</xdr:col>
      <xdr:colOff>50800</xdr:colOff>
      <xdr:row>1</xdr:row>
      <xdr:rowOff>0</xdr:rowOff>
    </xdr:from>
    <xdr:to>
      <xdr:col>1</xdr:col>
      <xdr:colOff>2286000</xdr:colOff>
      <xdr:row>4</xdr:row>
      <xdr:rowOff>38100</xdr:rowOff>
    </xdr:to>
    <xdr:pic>
      <xdr:nvPicPr>
        <xdr:cNvPr id="14" name="Picture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B399D1A-8B3D-1105-F7AA-B0E8D9217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54000" y="203200"/>
          <a:ext cx="2235200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A755E-5CF3-2340-9A44-6C84475800FF}">
  <sheetPr>
    <tabColor rgb="FF00B050"/>
  </sheetPr>
  <dimension ref="A1:BK184"/>
  <sheetViews>
    <sheetView showGridLines="0" tabSelected="1" zoomScaleNormal="100" workbookViewId="0">
      <selection activeCell="E21" sqref="E21"/>
    </sheetView>
  </sheetViews>
  <sheetFormatPr baseColWidth="10" defaultColWidth="11" defaultRowHeight="16" x14ac:dyDescent="0.2"/>
  <cols>
    <col min="1" max="1" width="2.6640625" customWidth="1"/>
    <col min="2" max="2" width="38.6640625" customWidth="1"/>
    <col min="3" max="3" width="2.5" customWidth="1"/>
    <col min="4" max="4" width="3.1640625" customWidth="1"/>
    <col min="5" max="5" width="14.5" style="3" customWidth="1"/>
    <col min="6" max="6" width="11.6640625" customWidth="1"/>
    <col min="7" max="7" width="10.6640625" customWidth="1"/>
    <col min="8" max="8" width="10.83203125" customWidth="1"/>
    <col min="9" max="9" width="13.5" customWidth="1"/>
    <col min="10" max="10" width="18.6640625" customWidth="1"/>
    <col min="11" max="11" width="22.33203125" customWidth="1"/>
    <col min="12" max="12" width="14.83203125" customWidth="1"/>
    <col min="13" max="13" width="27.83203125" customWidth="1"/>
    <col min="14" max="14" width="14.6640625" customWidth="1"/>
    <col min="15" max="15" width="15.1640625" customWidth="1"/>
    <col min="16" max="16" width="15.1640625" style="50" customWidth="1"/>
    <col min="17" max="17" width="13.1640625" style="50" hidden="1" customWidth="1"/>
    <col min="18" max="23" width="13.1640625" style="50" customWidth="1"/>
    <col min="24" max="24" width="10.83203125" style="50"/>
    <col min="25" max="25" width="16" style="50" customWidth="1"/>
    <col min="26" max="26" width="10.83203125" style="50"/>
    <col min="27" max="27" width="14.33203125" style="50" customWidth="1"/>
    <col min="28" max="28" width="15" style="50" customWidth="1"/>
    <col min="29" max="30" width="16" style="50" customWidth="1"/>
    <col min="31" max="31" width="0" style="50" hidden="1" customWidth="1"/>
    <col min="32" max="32" width="11.1640625" style="50" bestFit="1" customWidth="1"/>
    <col min="33" max="33" width="10.83203125" style="50"/>
    <col min="34" max="34" width="0" style="50" hidden="1" customWidth="1"/>
    <col min="35" max="35" width="10.83203125" style="50"/>
    <col min="36" max="36" width="15.5" style="50" customWidth="1"/>
    <col min="37" max="37" width="11.6640625" style="50" customWidth="1"/>
    <col min="38" max="38" width="16.33203125" style="50" customWidth="1"/>
    <col min="39" max="39" width="12.33203125" style="50" customWidth="1"/>
    <col min="40" max="40" width="15" style="50" customWidth="1"/>
    <col min="41" max="41" width="0" style="50" hidden="1" customWidth="1"/>
    <col min="42" max="43" width="10.83203125" style="50"/>
    <col min="44" max="47" width="0" style="50" hidden="1" customWidth="1"/>
    <col min="48" max="48" width="16.1640625" style="50" hidden="1" customWidth="1"/>
    <col min="49" max="54" width="0" style="50" hidden="1" customWidth="1"/>
    <col min="55" max="55" width="10.83203125" style="50"/>
    <col min="56" max="56" width="15.5" style="50" customWidth="1"/>
    <col min="57" max="57" width="10.83203125" style="50"/>
    <col min="58" max="58" width="16.1640625" style="50" customWidth="1"/>
    <col min="59" max="59" width="10.83203125" style="50" customWidth="1"/>
    <col min="60" max="60" width="13.5" style="50" customWidth="1"/>
    <col min="61" max="61" width="0" style="50" hidden="1" customWidth="1"/>
    <col min="62" max="63" width="10.83203125" style="50"/>
  </cols>
  <sheetData>
    <row r="1" spans="2:61" x14ac:dyDescent="0.2">
      <c r="E1" s="5"/>
    </row>
    <row r="2" spans="2:61" x14ac:dyDescent="0.2">
      <c r="H2" s="15"/>
    </row>
    <row r="4" spans="2:61" ht="16" customHeight="1" x14ac:dyDescent="0.2">
      <c r="C4" s="32"/>
      <c r="D4" s="32"/>
      <c r="E4" s="32"/>
      <c r="F4" s="1"/>
    </row>
    <row r="5" spans="2:61" ht="40" customHeight="1" x14ac:dyDescent="0.35">
      <c r="B5" s="48" t="s">
        <v>68</v>
      </c>
      <c r="C5" s="33"/>
      <c r="D5" s="33"/>
      <c r="E5" s="33"/>
      <c r="I5" s="42"/>
    </row>
    <row r="6" spans="2:61" ht="18" customHeight="1" x14ac:dyDescent="0.2">
      <c r="B6" s="33"/>
      <c r="C6" s="33"/>
      <c r="D6" s="33"/>
      <c r="E6" s="33"/>
      <c r="X6" s="56" t="s">
        <v>38</v>
      </c>
      <c r="Y6" s="56"/>
      <c r="AB6" s="57">
        <f>E17</f>
        <v>10000</v>
      </c>
      <c r="AC6" s="56" t="s">
        <v>45</v>
      </c>
      <c r="AD6" s="56"/>
      <c r="AE6" s="56"/>
      <c r="AI6" s="56" t="s">
        <v>41</v>
      </c>
      <c r="AJ6" s="56"/>
      <c r="AK6" s="56"/>
      <c r="AL6" s="56"/>
      <c r="AM6" s="57">
        <f>E18</f>
        <v>7800</v>
      </c>
      <c r="AN6" s="56" t="s">
        <v>45</v>
      </c>
      <c r="AO6" s="56"/>
      <c r="AR6" s="56" t="s">
        <v>42</v>
      </c>
      <c r="AS6" s="56"/>
      <c r="AT6" s="56"/>
      <c r="AU6" s="56"/>
      <c r="AV6" s="56"/>
      <c r="AW6" s="57">
        <f>H19</f>
        <v>0</v>
      </c>
      <c r="AX6" s="56" t="s">
        <v>45</v>
      </c>
      <c r="AY6" s="56"/>
      <c r="BC6" s="56" t="s">
        <v>43</v>
      </c>
      <c r="BD6" s="56"/>
      <c r="BE6" s="56"/>
      <c r="BF6" s="56"/>
      <c r="BG6" s="57">
        <f>H20</f>
        <v>10000</v>
      </c>
      <c r="BH6" s="56" t="s">
        <v>45</v>
      </c>
      <c r="BI6" s="56"/>
    </row>
    <row r="7" spans="2:61" ht="18" customHeight="1" x14ac:dyDescent="0.2">
      <c r="B7" s="80" t="s">
        <v>77</v>
      </c>
      <c r="C7" s="80"/>
      <c r="D7" s="80"/>
      <c r="E7" s="80"/>
    </row>
    <row r="8" spans="2:61" ht="10" customHeight="1" x14ac:dyDescent="0.25">
      <c r="B8" s="80"/>
      <c r="C8" s="80"/>
      <c r="D8" s="80"/>
      <c r="E8" s="80"/>
      <c r="K8" s="43"/>
      <c r="L8" s="43"/>
      <c r="Q8" s="58" t="s">
        <v>19</v>
      </c>
      <c r="R8" s="58"/>
      <c r="S8" s="58"/>
      <c r="T8" s="58"/>
      <c r="U8" s="58"/>
      <c r="V8" s="58"/>
      <c r="W8" s="58"/>
      <c r="X8" s="50" t="s">
        <v>0</v>
      </c>
      <c r="Y8" s="50" t="s">
        <v>14</v>
      </c>
      <c r="Z8" s="50" t="s">
        <v>12</v>
      </c>
      <c r="AA8" s="50" t="s">
        <v>13</v>
      </c>
      <c r="AB8" s="50" t="s">
        <v>16</v>
      </c>
      <c r="AC8" s="50" t="s">
        <v>47</v>
      </c>
      <c r="AD8" s="50" t="s">
        <v>39</v>
      </c>
      <c r="AE8" s="50" t="s">
        <v>36</v>
      </c>
      <c r="AH8" s="58" t="s">
        <v>19</v>
      </c>
      <c r="AI8" s="50" t="s">
        <v>0</v>
      </c>
      <c r="AJ8" s="50" t="s">
        <v>14</v>
      </c>
      <c r="AK8" s="50" t="s">
        <v>12</v>
      </c>
      <c r="AL8" s="50" t="s">
        <v>13</v>
      </c>
      <c r="AM8" s="50" t="s">
        <v>16</v>
      </c>
      <c r="AN8" s="50" t="s">
        <v>48</v>
      </c>
      <c r="AO8" s="50" t="s">
        <v>36</v>
      </c>
      <c r="AR8" s="58" t="s">
        <v>19</v>
      </c>
      <c r="AS8" s="50" t="s">
        <v>0</v>
      </c>
      <c r="AT8" s="50" t="s">
        <v>14</v>
      </c>
      <c r="AU8" s="50" t="s">
        <v>12</v>
      </c>
      <c r="AV8" s="50" t="s">
        <v>13</v>
      </c>
      <c r="AW8" s="50" t="s">
        <v>16</v>
      </c>
      <c r="AX8" s="50" t="s">
        <v>15</v>
      </c>
      <c r="AY8" s="50" t="s">
        <v>36</v>
      </c>
      <c r="BB8" s="58" t="s">
        <v>19</v>
      </c>
      <c r="BC8" s="50" t="s">
        <v>0</v>
      </c>
      <c r="BD8" s="50" t="s">
        <v>14</v>
      </c>
      <c r="BE8" s="50" t="s">
        <v>12</v>
      </c>
      <c r="BF8" s="50" t="s">
        <v>13</v>
      </c>
      <c r="BG8" s="50" t="s">
        <v>16</v>
      </c>
      <c r="BH8" s="50" t="s">
        <v>15</v>
      </c>
      <c r="BI8" s="50" t="s">
        <v>36</v>
      </c>
    </row>
    <row r="9" spans="2:61" ht="11" customHeight="1" x14ac:dyDescent="0.2">
      <c r="B9" s="80"/>
      <c r="C9" s="80"/>
      <c r="D9" s="80"/>
      <c r="E9" s="80"/>
      <c r="J9" s="1"/>
      <c r="K9" s="29"/>
      <c r="L9" s="29"/>
      <c r="Q9" s="59">
        <f t="shared" ref="Q9:Q40" si="0">IF(X9&gt;$E$31,(1+$E$54),1)</f>
        <v>1</v>
      </c>
      <c r="R9" s="59"/>
      <c r="S9" s="59"/>
      <c r="T9" s="59"/>
      <c r="U9" s="59"/>
      <c r="V9" s="59"/>
      <c r="W9" s="59"/>
      <c r="X9" s="50">
        <f>E12</f>
        <v>37</v>
      </c>
      <c r="Y9" s="60">
        <v>0</v>
      </c>
      <c r="Z9" s="60">
        <f t="shared" ref="Z9:Z46" si="1">IF(X9&gt;=$E$31,0,$E$17)</f>
        <v>10000</v>
      </c>
      <c r="AA9" s="61">
        <f>IF(X9&gt;$E$31,-$E$33,0)</f>
        <v>0</v>
      </c>
      <c r="AB9" s="60">
        <f>SUM(Y9:AA9)*$E$22</f>
        <v>700.00000000000011</v>
      </c>
      <c r="AC9" s="60">
        <f>IF(SUM(Y9:AB9)&lt;0,0,(SUM(Y9:AB9)))</f>
        <v>10700</v>
      </c>
      <c r="AD9" s="61">
        <f>IF(AA9&gt;$E$31,-$E$38,0)</f>
        <v>0</v>
      </c>
      <c r="AE9" s="50">
        <f>IF(AB9&lt;0,AB9,0)</f>
        <v>0</v>
      </c>
      <c r="AH9" s="59">
        <f t="shared" ref="AH9:AH40" si="2">IF(AI9&gt;$E$31,(1+$E$54),1)</f>
        <v>1</v>
      </c>
      <c r="AI9" s="50">
        <f>$E$12</f>
        <v>37</v>
      </c>
      <c r="AJ9" s="60">
        <v>0</v>
      </c>
      <c r="AK9" s="60">
        <f t="shared" ref="AK9:AK46" si="3">IF(AI9&gt;=$E$31,0,$E$18)</f>
        <v>7800</v>
      </c>
      <c r="AL9" s="61">
        <f>IF(AI9&gt;$E$31,-$E$35,0)</f>
        <v>0</v>
      </c>
      <c r="AM9" s="60">
        <f>SUM(AJ9:AL9)*$E$22</f>
        <v>546</v>
      </c>
      <c r="AN9" s="60">
        <f>IF(SUM(AJ9:AM9)&lt;0,0,(SUM(AJ9:AM9)))</f>
        <v>8346</v>
      </c>
      <c r="AO9" s="50">
        <f>IF(AM9&lt;0,AM9,0)</f>
        <v>0</v>
      </c>
      <c r="AR9" s="59">
        <f t="shared" ref="AR9:AR40" si="4">IF(AS9&gt;$E$31,(1+$E$54),1)</f>
        <v>1</v>
      </c>
      <c r="AS9" s="50">
        <f>$E$12</f>
        <v>37</v>
      </c>
      <c r="AT9" s="60">
        <f>$E$19</f>
        <v>112300</v>
      </c>
      <c r="AU9" s="60">
        <f t="shared" ref="AU9:AU40" si="5">IF(AS9&gt;=$E$31,0,$H$19)</f>
        <v>0</v>
      </c>
      <c r="AV9" s="61">
        <f>IF(AS9&gt;$E$31,-$E$33,0)</f>
        <v>0</v>
      </c>
      <c r="AW9" s="60">
        <f>SUM(AT9:AV9)*$E$22</f>
        <v>7861.0000000000009</v>
      </c>
      <c r="AX9" s="60">
        <f>IF(SUM(AT9:AW9)&lt;0,0,(SUM(AT9:AW9)))</f>
        <v>120161</v>
      </c>
      <c r="AY9" s="50">
        <f>IF(AW9&lt;0,AW9,0)</f>
        <v>0</v>
      </c>
      <c r="BB9" s="59">
        <f t="shared" ref="BB9:BB40" si="6">IF(BC9&gt;$E$31,(1+$E$54),1)</f>
        <v>1</v>
      </c>
      <c r="BC9" s="50">
        <f>$E$12</f>
        <v>37</v>
      </c>
      <c r="BD9" s="60">
        <v>0</v>
      </c>
      <c r="BE9" s="60">
        <f t="shared" ref="BE9:BE40" si="7">IF(BC9&gt;=$E$31,0,$H$20)</f>
        <v>10000</v>
      </c>
      <c r="BF9" s="61">
        <f>IF(BC9&gt;$E$31,-$E$35,0)</f>
        <v>0</v>
      </c>
      <c r="BG9" s="60">
        <f>SUM(BD9:BF9)*$E$22</f>
        <v>700.00000000000011</v>
      </c>
      <c r="BH9" s="60">
        <f>IF(SUM(BD9:BG9)&lt;0,0,(SUM(BD9:BG9)))</f>
        <v>10700</v>
      </c>
      <c r="BI9" s="50">
        <f>IF(BG9&lt;0,BG9,0)</f>
        <v>0</v>
      </c>
    </row>
    <row r="10" spans="2:61" x14ac:dyDescent="0.2">
      <c r="B10" s="80"/>
      <c r="C10" s="80"/>
      <c r="D10" s="80"/>
      <c r="E10" s="80"/>
      <c r="I10" s="18"/>
      <c r="Q10" s="59">
        <f t="shared" si="0"/>
        <v>1</v>
      </c>
      <c r="R10" s="59"/>
      <c r="S10" s="59"/>
      <c r="T10" s="59"/>
      <c r="U10" s="59"/>
      <c r="V10" s="59"/>
      <c r="W10" s="59"/>
      <c r="X10" s="50">
        <f>X9+1</f>
        <v>38</v>
      </c>
      <c r="Y10" s="60">
        <f>AC9</f>
        <v>10700</v>
      </c>
      <c r="Z10" s="60">
        <f t="shared" si="1"/>
        <v>10000</v>
      </c>
      <c r="AA10" s="61">
        <f t="shared" ref="AA10:AA41" si="8">IF(AC9=0,0,IF(X10=$E$31,-$E$33*Q10,IF(X10&lt;$E$31,0,IF(-AA9*Q10&gt;AC9,-AC9,AA9*Q10))))</f>
        <v>0</v>
      </c>
      <c r="AB10" s="60">
        <f t="shared" ref="AB10:AB41" si="9">IF(AC9=0,0,SUM(Y10:AA10)*$E$22)</f>
        <v>1449.0000000000002</v>
      </c>
      <c r="AC10" s="60">
        <f t="shared" ref="AC10:AC73" si="10">IF(SUM(Y10:AB10)&lt;0,0,(SUM(Y10:AB10)))</f>
        <v>22149</v>
      </c>
      <c r="AD10" s="61">
        <f t="shared" ref="AD10:AD41" si="11">IF($AC9=0,0,IF($X10=$E$31,-$E$35*$Q10,IF($X10&lt;$E$31,0,IF(-$AA9*$Q10&gt;$AC9,-$AC9*AD9/AA9,$AD9*$Q10))))</f>
        <v>0</v>
      </c>
      <c r="AE10" s="50">
        <f t="shared" ref="AE10:AE73" si="12">IF(AB10&lt;0,AB10,0)</f>
        <v>0</v>
      </c>
      <c r="AH10" s="59">
        <f t="shared" si="2"/>
        <v>1</v>
      </c>
      <c r="AI10" s="50">
        <f>AI9+1</f>
        <v>38</v>
      </c>
      <c r="AJ10" s="60">
        <f>AN9</f>
        <v>8346</v>
      </c>
      <c r="AK10" s="60">
        <f t="shared" si="3"/>
        <v>7800</v>
      </c>
      <c r="AL10" s="61">
        <f t="shared" ref="AL10:AL41" si="13">IF(AN9=0,0,IF(AI10=$E$31,-$E$35*AH10,IF(AI10&lt;$E$31,0,IF(-AL9*AH10&gt;AN9,-AN9,AL9*AH10))))</f>
        <v>0</v>
      </c>
      <c r="AM10" s="60">
        <f t="shared" ref="AM10:AM41" si="14">IF(AN9=0,0,SUM(AJ10:AL10)*$E$22)</f>
        <v>1130.22</v>
      </c>
      <c r="AN10" s="60">
        <f>IF(SUM(AJ10:AM10)&lt;0,0,(SUM(AJ10:AM10)))</f>
        <v>17276.22</v>
      </c>
      <c r="AO10" s="50">
        <f t="shared" ref="AO10:AO73" si="15">IF(AM10&lt;0,AM10,0)</f>
        <v>0</v>
      </c>
      <c r="AR10" s="59">
        <f t="shared" si="4"/>
        <v>1</v>
      </c>
      <c r="AS10" s="50">
        <f>AS9+1</f>
        <v>38</v>
      </c>
      <c r="AT10" s="60">
        <f>AX9</f>
        <v>120161</v>
      </c>
      <c r="AU10" s="60">
        <f t="shared" si="5"/>
        <v>0</v>
      </c>
      <c r="AV10" s="61">
        <f>IF(AX9=0,0,IF(AS10=$E$31,-#REF!*AR10,IF(AS10&lt;$E$31,0,IF(-AV9*AR10&gt;AX9,-AX9,AV9*AR10))))</f>
        <v>0</v>
      </c>
      <c r="AW10" s="60">
        <f t="shared" ref="AW10:AW41" si="16">IF(AX9=0,0,SUM(AT10:AV10)*$E$22)</f>
        <v>8411.27</v>
      </c>
      <c r="AX10" s="60">
        <f t="shared" ref="AX10:AX73" si="17">IF(SUM(AT10:AW10)&lt;0,0,(SUM(AT10:AW10)))</f>
        <v>128572.27</v>
      </c>
      <c r="AY10" s="50">
        <f t="shared" ref="AY10:AY73" si="18">IF(AW10&lt;0,AW10,0)</f>
        <v>0</v>
      </c>
      <c r="BB10" s="59">
        <f t="shared" si="6"/>
        <v>1</v>
      </c>
      <c r="BC10" s="50">
        <f>BC9+1</f>
        <v>38</v>
      </c>
      <c r="BD10" s="60">
        <f>BH9</f>
        <v>10700</v>
      </c>
      <c r="BE10" s="60">
        <f t="shared" si="7"/>
        <v>10000</v>
      </c>
      <c r="BF10" s="61">
        <f t="shared" ref="BF10:BF41" si="19">IF(BH9=0,0,IF(BC10=$E$31,-$E$35*BB10,IF(BC10&lt;$E$31,0,IF(-BF9*BB10&gt;BH9,-BH9,BF9*BB10))))</f>
        <v>0</v>
      </c>
      <c r="BG10" s="60">
        <f t="shared" ref="BG10:BG41" si="20">IF(BH9=0,0,SUM(BD10:BF10)*$E$22)</f>
        <v>1449.0000000000002</v>
      </c>
      <c r="BH10" s="60">
        <f t="shared" ref="BH10:BH73" si="21">IF(SUM(BD10:BG10)&lt;0,0,(SUM(BD10:BG10)))</f>
        <v>22149</v>
      </c>
      <c r="BI10" s="50">
        <f t="shared" ref="BI10:BI73" si="22">IF(BG10&lt;0,BG10,0)</f>
        <v>0</v>
      </c>
    </row>
    <row r="11" spans="2:61" x14ac:dyDescent="0.2">
      <c r="F11" s="12"/>
      <c r="Q11" s="59">
        <f t="shared" si="0"/>
        <v>1</v>
      </c>
      <c r="R11" s="59"/>
      <c r="S11" s="59"/>
      <c r="T11" s="59"/>
      <c r="U11" s="59"/>
      <c r="V11" s="59"/>
      <c r="W11" s="59"/>
      <c r="X11" s="50">
        <f t="shared" ref="X11:X75" si="23">X10+1</f>
        <v>39</v>
      </c>
      <c r="Y11" s="60">
        <f t="shared" ref="Y11:Y74" si="24">AC10</f>
        <v>22149</v>
      </c>
      <c r="Z11" s="60">
        <f t="shared" si="1"/>
        <v>10000</v>
      </c>
      <c r="AA11" s="61">
        <f t="shared" si="8"/>
        <v>0</v>
      </c>
      <c r="AB11" s="60">
        <f t="shared" si="9"/>
        <v>2250.4300000000003</v>
      </c>
      <c r="AC11" s="60">
        <f t="shared" si="10"/>
        <v>34399.43</v>
      </c>
      <c r="AD11" s="61">
        <f t="shared" si="11"/>
        <v>0</v>
      </c>
      <c r="AE11" s="50">
        <f t="shared" si="12"/>
        <v>0</v>
      </c>
      <c r="AH11" s="59">
        <f t="shared" si="2"/>
        <v>1</v>
      </c>
      <c r="AI11" s="50">
        <f>AI10+1</f>
        <v>39</v>
      </c>
      <c r="AJ11" s="60">
        <f t="shared" ref="AJ11:AJ74" si="25">AN10</f>
        <v>17276.22</v>
      </c>
      <c r="AK11" s="60">
        <f t="shared" si="3"/>
        <v>7800</v>
      </c>
      <c r="AL11" s="61">
        <f t="shared" si="13"/>
        <v>0</v>
      </c>
      <c r="AM11" s="60">
        <f t="shared" si="14"/>
        <v>1755.3354000000002</v>
      </c>
      <c r="AN11" s="60">
        <f t="shared" ref="AN11:AN73" si="26">IF(SUM(AJ11:AM11)&lt;0,0,(SUM(AJ11:AM11)))</f>
        <v>26831.555400000001</v>
      </c>
      <c r="AO11" s="50">
        <f t="shared" si="15"/>
        <v>0</v>
      </c>
      <c r="AR11" s="59">
        <f t="shared" si="4"/>
        <v>1</v>
      </c>
      <c r="AS11" s="50">
        <f>AS10+1</f>
        <v>39</v>
      </c>
      <c r="AT11" s="60">
        <f t="shared" ref="AT11:AT74" si="27">AX10</f>
        <v>128572.27</v>
      </c>
      <c r="AU11" s="60">
        <f t="shared" si="5"/>
        <v>0</v>
      </c>
      <c r="AV11" s="61">
        <f>IF(AX10=0,0,IF(AS11=$E$31,-#REF!*AR11,IF(AS11&lt;$E$31,0,IF(-AV10*AR11&gt;AX10,-AX10,AV10*AR11))))</f>
        <v>0</v>
      </c>
      <c r="AW11" s="60">
        <f t="shared" si="16"/>
        <v>9000.0589000000018</v>
      </c>
      <c r="AX11" s="60">
        <f t="shared" si="17"/>
        <v>137572.32889999999</v>
      </c>
      <c r="AY11" s="50">
        <f t="shared" si="18"/>
        <v>0</v>
      </c>
      <c r="BB11" s="59">
        <f t="shared" si="6"/>
        <v>1</v>
      </c>
      <c r="BC11" s="50">
        <f>BC10+1</f>
        <v>39</v>
      </c>
      <c r="BD11" s="60">
        <f t="shared" ref="BD11:BD74" si="28">BH10</f>
        <v>22149</v>
      </c>
      <c r="BE11" s="60">
        <f t="shared" si="7"/>
        <v>10000</v>
      </c>
      <c r="BF11" s="61">
        <f t="shared" si="19"/>
        <v>0</v>
      </c>
      <c r="BG11" s="60">
        <f t="shared" si="20"/>
        <v>2250.4300000000003</v>
      </c>
      <c r="BH11" s="60">
        <f t="shared" si="21"/>
        <v>34399.43</v>
      </c>
      <c r="BI11" s="50">
        <f t="shared" si="22"/>
        <v>0</v>
      </c>
    </row>
    <row r="12" spans="2:61" ht="19" x14ac:dyDescent="0.25">
      <c r="B12" s="21" t="s">
        <v>1</v>
      </c>
      <c r="C12" s="1"/>
      <c r="D12" s="1"/>
      <c r="E12" s="35">
        <v>37</v>
      </c>
      <c r="J12" t="s">
        <v>79</v>
      </c>
      <c r="Q12" s="59">
        <f t="shared" si="0"/>
        <v>1</v>
      </c>
      <c r="R12" s="59"/>
      <c r="S12" s="59"/>
      <c r="T12" s="59"/>
      <c r="U12" s="59"/>
      <c r="V12" s="59"/>
      <c r="W12" s="59"/>
      <c r="X12" s="50">
        <f t="shared" si="23"/>
        <v>40</v>
      </c>
      <c r="Y12" s="60">
        <f t="shared" si="24"/>
        <v>34399.43</v>
      </c>
      <c r="Z12" s="60">
        <f t="shared" si="1"/>
        <v>10000</v>
      </c>
      <c r="AA12" s="61">
        <f t="shared" si="8"/>
        <v>0</v>
      </c>
      <c r="AB12" s="60">
        <f t="shared" si="9"/>
        <v>3107.9601000000002</v>
      </c>
      <c r="AC12" s="60">
        <f t="shared" si="10"/>
        <v>47507.390100000004</v>
      </c>
      <c r="AD12" s="61">
        <f t="shared" si="11"/>
        <v>0</v>
      </c>
      <c r="AE12" s="50">
        <f t="shared" si="12"/>
        <v>0</v>
      </c>
      <c r="AH12" s="59">
        <f t="shared" si="2"/>
        <v>1</v>
      </c>
      <c r="AI12" s="50">
        <f t="shared" ref="AI12:AI75" si="29">AI11+1</f>
        <v>40</v>
      </c>
      <c r="AJ12" s="60">
        <f t="shared" si="25"/>
        <v>26831.555400000001</v>
      </c>
      <c r="AK12" s="60">
        <f t="shared" si="3"/>
        <v>7800</v>
      </c>
      <c r="AL12" s="61">
        <f t="shared" si="13"/>
        <v>0</v>
      </c>
      <c r="AM12" s="60">
        <f t="shared" si="14"/>
        <v>2424.2088779999999</v>
      </c>
      <c r="AN12" s="60">
        <f t="shared" si="26"/>
        <v>37055.764277999995</v>
      </c>
      <c r="AO12" s="50">
        <f t="shared" si="15"/>
        <v>0</v>
      </c>
      <c r="AR12" s="59">
        <f t="shared" si="4"/>
        <v>1</v>
      </c>
      <c r="AS12" s="50">
        <f t="shared" ref="AS12:AS75" si="30">AS11+1</f>
        <v>40</v>
      </c>
      <c r="AT12" s="60">
        <f t="shared" si="27"/>
        <v>137572.32889999999</v>
      </c>
      <c r="AU12" s="60">
        <f t="shared" si="5"/>
        <v>0</v>
      </c>
      <c r="AV12" s="61">
        <f>IF(AX11=0,0,IF(AS12=$E$31,-#REF!*AR12,IF(AS12&lt;$E$31,0,IF(-AV11*AR12&gt;AX11,-AX11,AV11*AR12))))</f>
        <v>0</v>
      </c>
      <c r="AW12" s="60">
        <f t="shared" si="16"/>
        <v>9630.0630230000006</v>
      </c>
      <c r="AX12" s="60">
        <f t="shared" si="17"/>
        <v>147202.39192299999</v>
      </c>
      <c r="AY12" s="50">
        <f t="shared" si="18"/>
        <v>0</v>
      </c>
      <c r="BB12" s="59">
        <f t="shared" si="6"/>
        <v>1</v>
      </c>
      <c r="BC12" s="50">
        <f t="shared" ref="BC12:BC75" si="31">BC11+1</f>
        <v>40</v>
      </c>
      <c r="BD12" s="60">
        <f t="shared" si="28"/>
        <v>34399.43</v>
      </c>
      <c r="BE12" s="60">
        <f t="shared" si="7"/>
        <v>10000</v>
      </c>
      <c r="BF12" s="61">
        <f t="shared" si="19"/>
        <v>0</v>
      </c>
      <c r="BG12" s="60">
        <f t="shared" si="20"/>
        <v>3107.9601000000002</v>
      </c>
      <c r="BH12" s="60">
        <f t="shared" si="21"/>
        <v>47507.390100000004</v>
      </c>
      <c r="BI12" s="50">
        <f t="shared" si="22"/>
        <v>0</v>
      </c>
    </row>
    <row r="13" spans="2:61" ht="19" x14ac:dyDescent="0.25">
      <c r="B13" s="21" t="s">
        <v>3</v>
      </c>
      <c r="C13" s="1"/>
      <c r="D13" s="1"/>
      <c r="E13" s="35" t="s">
        <v>25</v>
      </c>
      <c r="F13" s="16">
        <f>E16-E17</f>
        <v>112300</v>
      </c>
      <c r="J13" t="s">
        <v>80</v>
      </c>
      <c r="Q13" s="59">
        <f t="shared" si="0"/>
        <v>1</v>
      </c>
      <c r="R13" s="59"/>
      <c r="S13" s="59"/>
      <c r="T13" s="59"/>
      <c r="U13" s="59"/>
      <c r="V13" s="59"/>
      <c r="W13" s="59"/>
      <c r="X13" s="50">
        <f t="shared" si="23"/>
        <v>41</v>
      </c>
      <c r="Y13" s="60">
        <f t="shared" si="24"/>
        <v>47507.390100000004</v>
      </c>
      <c r="Z13" s="60">
        <f t="shared" si="1"/>
        <v>10000</v>
      </c>
      <c r="AA13" s="61">
        <f t="shared" si="8"/>
        <v>0</v>
      </c>
      <c r="AB13" s="60">
        <f t="shared" si="9"/>
        <v>4025.5173070000005</v>
      </c>
      <c r="AC13" s="60">
        <f t="shared" si="10"/>
        <v>61532.907407000006</v>
      </c>
      <c r="AD13" s="61">
        <f t="shared" si="11"/>
        <v>0</v>
      </c>
      <c r="AE13" s="50">
        <f t="shared" si="12"/>
        <v>0</v>
      </c>
      <c r="AH13" s="59">
        <f t="shared" si="2"/>
        <v>1</v>
      </c>
      <c r="AI13" s="50">
        <f t="shared" si="29"/>
        <v>41</v>
      </c>
      <c r="AJ13" s="60">
        <f t="shared" si="25"/>
        <v>37055.764277999995</v>
      </c>
      <c r="AK13" s="60">
        <f t="shared" si="3"/>
        <v>7800</v>
      </c>
      <c r="AL13" s="61">
        <f t="shared" si="13"/>
        <v>0</v>
      </c>
      <c r="AM13" s="60">
        <f t="shared" si="14"/>
        <v>3139.9034994600001</v>
      </c>
      <c r="AN13" s="60">
        <f t="shared" si="26"/>
        <v>47995.667777459996</v>
      </c>
      <c r="AO13" s="50">
        <f t="shared" si="15"/>
        <v>0</v>
      </c>
      <c r="AR13" s="59">
        <f t="shared" si="4"/>
        <v>1</v>
      </c>
      <c r="AS13" s="50">
        <f t="shared" si="30"/>
        <v>41</v>
      </c>
      <c r="AT13" s="60">
        <f t="shared" si="27"/>
        <v>147202.39192299999</v>
      </c>
      <c r="AU13" s="60">
        <f t="shared" si="5"/>
        <v>0</v>
      </c>
      <c r="AV13" s="61">
        <f>IF(AX12=0,0,IF(AS13=$E$31,-#REF!*AR13,IF(AS13&lt;$E$31,0,IF(-AV12*AR13&gt;AX12,-AX12,AV12*AR13))))</f>
        <v>0</v>
      </c>
      <c r="AW13" s="60">
        <f t="shared" si="16"/>
        <v>10304.167434610001</v>
      </c>
      <c r="AX13" s="60">
        <f t="shared" si="17"/>
        <v>157506.55935760998</v>
      </c>
      <c r="AY13" s="50">
        <f t="shared" si="18"/>
        <v>0</v>
      </c>
      <c r="BB13" s="59">
        <f t="shared" si="6"/>
        <v>1</v>
      </c>
      <c r="BC13" s="50">
        <f t="shared" si="31"/>
        <v>41</v>
      </c>
      <c r="BD13" s="60">
        <f t="shared" si="28"/>
        <v>47507.390100000004</v>
      </c>
      <c r="BE13" s="60">
        <f t="shared" si="7"/>
        <v>10000</v>
      </c>
      <c r="BF13" s="61">
        <f t="shared" si="19"/>
        <v>0</v>
      </c>
      <c r="BG13" s="60">
        <f t="shared" si="20"/>
        <v>4025.5173070000005</v>
      </c>
      <c r="BH13" s="60">
        <f t="shared" si="21"/>
        <v>61532.907407000006</v>
      </c>
      <c r="BI13" s="50">
        <f t="shared" si="22"/>
        <v>0</v>
      </c>
    </row>
    <row r="14" spans="2:61" ht="19" x14ac:dyDescent="0.25">
      <c r="B14" s="21" t="s">
        <v>29</v>
      </c>
      <c r="C14" s="1"/>
      <c r="D14" s="1"/>
      <c r="E14" s="40">
        <v>150000</v>
      </c>
      <c r="Q14" s="59">
        <f t="shared" si="0"/>
        <v>1</v>
      </c>
      <c r="R14" s="59"/>
      <c r="S14" s="59"/>
      <c r="T14" s="59"/>
      <c r="U14" s="59"/>
      <c r="V14" s="59"/>
      <c r="W14" s="59"/>
      <c r="X14" s="50">
        <f t="shared" si="23"/>
        <v>42</v>
      </c>
      <c r="Y14" s="60">
        <f t="shared" si="24"/>
        <v>61532.907407000006</v>
      </c>
      <c r="Z14" s="60">
        <f t="shared" si="1"/>
        <v>10000</v>
      </c>
      <c r="AA14" s="61">
        <f t="shared" si="8"/>
        <v>0</v>
      </c>
      <c r="AB14" s="60">
        <f t="shared" si="9"/>
        <v>5007.3035184900009</v>
      </c>
      <c r="AC14" s="60">
        <f t="shared" si="10"/>
        <v>76540.210925490013</v>
      </c>
      <c r="AD14" s="61">
        <f t="shared" si="11"/>
        <v>0</v>
      </c>
      <c r="AE14" s="50">
        <f t="shared" si="12"/>
        <v>0</v>
      </c>
      <c r="AH14" s="59">
        <f t="shared" si="2"/>
        <v>1</v>
      </c>
      <c r="AI14" s="50">
        <f t="shared" si="29"/>
        <v>42</v>
      </c>
      <c r="AJ14" s="60">
        <f t="shared" si="25"/>
        <v>47995.667777459996</v>
      </c>
      <c r="AK14" s="60">
        <f t="shared" si="3"/>
        <v>7800</v>
      </c>
      <c r="AL14" s="61">
        <f t="shared" si="13"/>
        <v>0</v>
      </c>
      <c r="AM14" s="60">
        <f t="shared" si="14"/>
        <v>3905.6967444222</v>
      </c>
      <c r="AN14" s="60">
        <f t="shared" si="26"/>
        <v>59701.364521882198</v>
      </c>
      <c r="AO14" s="50">
        <f t="shared" si="15"/>
        <v>0</v>
      </c>
      <c r="AR14" s="59">
        <f t="shared" si="4"/>
        <v>1</v>
      </c>
      <c r="AS14" s="50">
        <f t="shared" si="30"/>
        <v>42</v>
      </c>
      <c r="AT14" s="60">
        <f t="shared" si="27"/>
        <v>157506.55935760998</v>
      </c>
      <c r="AU14" s="60">
        <f t="shared" si="5"/>
        <v>0</v>
      </c>
      <c r="AV14" s="61">
        <f>IF(AX13=0,0,IF(AS14=$E$31,-#REF!*AR14,IF(AS14&lt;$E$31,0,IF(-AV13*AR14&gt;AX13,-AX13,AV13*AR14))))</f>
        <v>0</v>
      </c>
      <c r="AW14" s="60">
        <f t="shared" si="16"/>
        <v>11025.459155032699</v>
      </c>
      <c r="AX14" s="60">
        <f t="shared" si="17"/>
        <v>168532.01851264268</v>
      </c>
      <c r="AY14" s="50">
        <f t="shared" si="18"/>
        <v>0</v>
      </c>
      <c r="BB14" s="59">
        <f t="shared" si="6"/>
        <v>1</v>
      </c>
      <c r="BC14" s="50">
        <f t="shared" si="31"/>
        <v>42</v>
      </c>
      <c r="BD14" s="60">
        <f t="shared" si="28"/>
        <v>61532.907407000006</v>
      </c>
      <c r="BE14" s="60">
        <f t="shared" si="7"/>
        <v>10000</v>
      </c>
      <c r="BF14" s="61">
        <f t="shared" si="19"/>
        <v>0</v>
      </c>
      <c r="BG14" s="60">
        <f t="shared" si="20"/>
        <v>5007.3035184900009</v>
      </c>
      <c r="BH14" s="60">
        <f t="shared" si="21"/>
        <v>76540.210925490013</v>
      </c>
      <c r="BI14" s="50">
        <f t="shared" si="22"/>
        <v>0</v>
      </c>
    </row>
    <row r="15" spans="2:61" x14ac:dyDescent="0.2">
      <c r="B15" s="24" t="s">
        <v>18</v>
      </c>
      <c r="C15" s="19"/>
      <c r="D15" s="19"/>
      <c r="E15" s="36">
        <f>VLOOKUP($E$13,Data!$C$3:$D$6,2,FALSE)</f>
        <v>27700</v>
      </c>
      <c r="Q15" s="59">
        <f t="shared" si="0"/>
        <v>1</v>
      </c>
      <c r="R15" s="59"/>
      <c r="S15" s="59"/>
      <c r="T15" s="59"/>
      <c r="U15" s="59"/>
      <c r="V15" s="59"/>
      <c r="W15" s="59"/>
      <c r="X15" s="50">
        <f t="shared" si="23"/>
        <v>43</v>
      </c>
      <c r="Y15" s="60">
        <f t="shared" si="24"/>
        <v>76540.210925490013</v>
      </c>
      <c r="Z15" s="60">
        <f t="shared" si="1"/>
        <v>10000</v>
      </c>
      <c r="AA15" s="61">
        <f t="shared" si="8"/>
        <v>0</v>
      </c>
      <c r="AB15" s="60">
        <f t="shared" si="9"/>
        <v>6057.8147647843016</v>
      </c>
      <c r="AC15" s="60">
        <f t="shared" si="10"/>
        <v>92598.025690274313</v>
      </c>
      <c r="AD15" s="61">
        <f t="shared" si="11"/>
        <v>0</v>
      </c>
      <c r="AE15" s="50">
        <f t="shared" si="12"/>
        <v>0</v>
      </c>
      <c r="AH15" s="59">
        <f t="shared" si="2"/>
        <v>1</v>
      </c>
      <c r="AI15" s="50">
        <f t="shared" si="29"/>
        <v>43</v>
      </c>
      <c r="AJ15" s="60">
        <f t="shared" si="25"/>
        <v>59701.364521882198</v>
      </c>
      <c r="AK15" s="60">
        <f t="shared" si="3"/>
        <v>7800</v>
      </c>
      <c r="AL15" s="61">
        <f t="shared" si="13"/>
        <v>0</v>
      </c>
      <c r="AM15" s="60">
        <f t="shared" si="14"/>
        <v>4725.0955165317546</v>
      </c>
      <c r="AN15" s="60">
        <f t="shared" si="26"/>
        <v>72226.460038413963</v>
      </c>
      <c r="AO15" s="50">
        <f t="shared" si="15"/>
        <v>0</v>
      </c>
      <c r="AR15" s="59">
        <f t="shared" si="4"/>
        <v>1</v>
      </c>
      <c r="AS15" s="50">
        <f t="shared" si="30"/>
        <v>43</v>
      </c>
      <c r="AT15" s="60">
        <f t="shared" si="27"/>
        <v>168532.01851264268</v>
      </c>
      <c r="AU15" s="60">
        <f t="shared" si="5"/>
        <v>0</v>
      </c>
      <c r="AV15" s="61">
        <f>IF(AX14=0,0,IF(AS15=$E$31,-#REF!*AR15,IF(AS15&lt;$E$31,0,IF(-AV14*AR15&gt;AX14,-AX14,AV14*AR15))))</f>
        <v>0</v>
      </c>
      <c r="AW15" s="60">
        <f t="shared" si="16"/>
        <v>11797.241295884989</v>
      </c>
      <c r="AX15" s="60">
        <f t="shared" si="17"/>
        <v>180329.25980852765</v>
      </c>
      <c r="AY15" s="50">
        <f t="shared" si="18"/>
        <v>0</v>
      </c>
      <c r="BB15" s="59">
        <f t="shared" si="6"/>
        <v>1</v>
      </c>
      <c r="BC15" s="50">
        <f t="shared" si="31"/>
        <v>43</v>
      </c>
      <c r="BD15" s="60">
        <f t="shared" si="28"/>
        <v>76540.210925490013</v>
      </c>
      <c r="BE15" s="60">
        <f t="shared" si="7"/>
        <v>10000</v>
      </c>
      <c r="BF15" s="61">
        <f t="shared" si="19"/>
        <v>0</v>
      </c>
      <c r="BG15" s="60">
        <f t="shared" si="20"/>
        <v>6057.8147647843016</v>
      </c>
      <c r="BH15" s="60">
        <f t="shared" si="21"/>
        <v>92598.025690274313</v>
      </c>
      <c r="BI15" s="50">
        <f t="shared" si="22"/>
        <v>0</v>
      </c>
    </row>
    <row r="16" spans="2:61" x14ac:dyDescent="0.2">
      <c r="B16" s="23" t="s">
        <v>31</v>
      </c>
      <c r="E16" s="37">
        <f>E14-E15</f>
        <v>122300</v>
      </c>
      <c r="H16" s="8"/>
      <c r="Q16" s="59">
        <f t="shared" si="0"/>
        <v>1</v>
      </c>
      <c r="R16" s="59"/>
      <c r="S16" s="59"/>
      <c r="T16" s="59"/>
      <c r="U16" s="59"/>
      <c r="V16" s="59"/>
      <c r="W16" s="59"/>
      <c r="X16" s="50">
        <f t="shared" si="23"/>
        <v>44</v>
      </c>
      <c r="Y16" s="60">
        <f t="shared" si="24"/>
        <v>92598.025690274313</v>
      </c>
      <c r="Z16" s="60">
        <f t="shared" si="1"/>
        <v>10000</v>
      </c>
      <c r="AA16" s="61">
        <f t="shared" si="8"/>
        <v>0</v>
      </c>
      <c r="AB16" s="60">
        <f t="shared" si="9"/>
        <v>7181.8617983192025</v>
      </c>
      <c r="AC16" s="60">
        <f t="shared" si="10"/>
        <v>109779.88748859352</v>
      </c>
      <c r="AD16" s="61">
        <f t="shared" si="11"/>
        <v>0</v>
      </c>
      <c r="AE16" s="50">
        <f t="shared" si="12"/>
        <v>0</v>
      </c>
      <c r="AH16" s="59">
        <f t="shared" si="2"/>
        <v>1</v>
      </c>
      <c r="AI16" s="50">
        <f t="shared" si="29"/>
        <v>44</v>
      </c>
      <c r="AJ16" s="60">
        <f t="shared" si="25"/>
        <v>72226.460038413963</v>
      </c>
      <c r="AK16" s="60">
        <f t="shared" si="3"/>
        <v>7800</v>
      </c>
      <c r="AL16" s="61">
        <f t="shared" si="13"/>
        <v>0</v>
      </c>
      <c r="AM16" s="60">
        <f t="shared" si="14"/>
        <v>5601.8522026889777</v>
      </c>
      <c r="AN16" s="60">
        <f t="shared" si="26"/>
        <v>85628.312241102947</v>
      </c>
      <c r="AO16" s="50">
        <f t="shared" si="15"/>
        <v>0</v>
      </c>
      <c r="AR16" s="59">
        <f t="shared" si="4"/>
        <v>1</v>
      </c>
      <c r="AS16" s="50">
        <f t="shared" si="30"/>
        <v>44</v>
      </c>
      <c r="AT16" s="60">
        <f t="shared" si="27"/>
        <v>180329.25980852765</v>
      </c>
      <c r="AU16" s="60">
        <f t="shared" si="5"/>
        <v>0</v>
      </c>
      <c r="AV16" s="61">
        <f>IF(AX15=0,0,IF(AS16=$E$31,-#REF!*AR16,IF(AS16&lt;$E$31,0,IF(-AV15*AR16&gt;AX15,-AX15,AV15*AR16))))</f>
        <v>0</v>
      </c>
      <c r="AW16" s="60">
        <f t="shared" si="16"/>
        <v>12623.048186596938</v>
      </c>
      <c r="AX16" s="60">
        <f t="shared" si="17"/>
        <v>192952.3079951246</v>
      </c>
      <c r="AY16" s="50">
        <f t="shared" si="18"/>
        <v>0</v>
      </c>
      <c r="BB16" s="59">
        <f t="shared" si="6"/>
        <v>1</v>
      </c>
      <c r="BC16" s="50">
        <f t="shared" si="31"/>
        <v>44</v>
      </c>
      <c r="BD16" s="60">
        <f t="shared" si="28"/>
        <v>92598.025690274313</v>
      </c>
      <c r="BE16" s="60">
        <f t="shared" si="7"/>
        <v>10000</v>
      </c>
      <c r="BF16" s="61">
        <f t="shared" si="19"/>
        <v>0</v>
      </c>
      <c r="BG16" s="60">
        <f t="shared" si="20"/>
        <v>7181.8617983192025</v>
      </c>
      <c r="BH16" s="60">
        <f t="shared" si="21"/>
        <v>109779.88748859352</v>
      </c>
      <c r="BI16" s="50">
        <f t="shared" si="22"/>
        <v>0</v>
      </c>
    </row>
    <row r="17" spans="2:61" ht="19" x14ac:dyDescent="0.25">
      <c r="B17" s="21" t="s">
        <v>30</v>
      </c>
      <c r="C17" s="1"/>
      <c r="D17" s="1"/>
      <c r="E17" s="40">
        <v>10000</v>
      </c>
      <c r="K17" s="7"/>
      <c r="Q17" s="59">
        <f t="shared" si="0"/>
        <v>1</v>
      </c>
      <c r="R17" s="59"/>
      <c r="S17" s="59"/>
      <c r="T17" s="59"/>
      <c r="U17" s="59"/>
      <c r="V17" s="59"/>
      <c r="W17" s="59"/>
      <c r="X17" s="50">
        <f t="shared" si="23"/>
        <v>45</v>
      </c>
      <c r="Y17" s="60">
        <f t="shared" si="24"/>
        <v>109779.88748859352</v>
      </c>
      <c r="Z17" s="60">
        <f t="shared" si="1"/>
        <v>10000</v>
      </c>
      <c r="AA17" s="61">
        <f t="shared" si="8"/>
        <v>0</v>
      </c>
      <c r="AB17" s="60">
        <f t="shared" si="9"/>
        <v>8384.5921242015465</v>
      </c>
      <c r="AC17" s="60">
        <f t="shared" si="10"/>
        <v>128164.47961279507</v>
      </c>
      <c r="AD17" s="61">
        <f t="shared" si="11"/>
        <v>0</v>
      </c>
      <c r="AE17" s="50">
        <f t="shared" si="12"/>
        <v>0</v>
      </c>
      <c r="AH17" s="59">
        <f t="shared" si="2"/>
        <v>1</v>
      </c>
      <c r="AI17" s="50">
        <f t="shared" si="29"/>
        <v>45</v>
      </c>
      <c r="AJ17" s="60">
        <f t="shared" si="25"/>
        <v>85628.312241102947</v>
      </c>
      <c r="AK17" s="60">
        <f t="shared" si="3"/>
        <v>7800</v>
      </c>
      <c r="AL17" s="61">
        <f t="shared" si="13"/>
        <v>0</v>
      </c>
      <c r="AM17" s="60">
        <f t="shared" si="14"/>
        <v>6539.9818568772071</v>
      </c>
      <c r="AN17" s="60">
        <f t="shared" si="26"/>
        <v>99968.29409798015</v>
      </c>
      <c r="AO17" s="50">
        <f t="shared" si="15"/>
        <v>0</v>
      </c>
      <c r="AR17" s="59">
        <f t="shared" si="4"/>
        <v>1</v>
      </c>
      <c r="AS17" s="50">
        <f t="shared" si="30"/>
        <v>45</v>
      </c>
      <c r="AT17" s="60">
        <f t="shared" si="27"/>
        <v>192952.3079951246</v>
      </c>
      <c r="AU17" s="60">
        <f t="shared" si="5"/>
        <v>0</v>
      </c>
      <c r="AV17" s="61">
        <f>IF(AX16=0,0,IF(AS17=$E$31,-#REF!*AR17,IF(AS17&lt;$E$31,0,IF(-AV16*AR17&gt;AX16,-AX16,AV16*AR17))))</f>
        <v>0</v>
      </c>
      <c r="AW17" s="60">
        <f t="shared" si="16"/>
        <v>13506.661559658723</v>
      </c>
      <c r="AX17" s="60">
        <f t="shared" si="17"/>
        <v>206458.96955478334</v>
      </c>
      <c r="AY17" s="50">
        <f t="shared" si="18"/>
        <v>0</v>
      </c>
      <c r="BB17" s="59">
        <f t="shared" si="6"/>
        <v>1</v>
      </c>
      <c r="BC17" s="50">
        <f t="shared" si="31"/>
        <v>45</v>
      </c>
      <c r="BD17" s="60">
        <f t="shared" si="28"/>
        <v>109779.88748859352</v>
      </c>
      <c r="BE17" s="60">
        <f t="shared" si="7"/>
        <v>10000</v>
      </c>
      <c r="BF17" s="61">
        <f t="shared" si="19"/>
        <v>0</v>
      </c>
      <c r="BG17" s="60">
        <f t="shared" si="20"/>
        <v>8384.5921242015465</v>
      </c>
      <c r="BH17" s="60">
        <f t="shared" si="21"/>
        <v>128164.47961279507</v>
      </c>
      <c r="BI17" s="50">
        <f t="shared" si="22"/>
        <v>0</v>
      </c>
    </row>
    <row r="18" spans="2:61" x14ac:dyDescent="0.2">
      <c r="B18" s="23" t="s">
        <v>66</v>
      </c>
      <c r="E18" s="37">
        <f>E17-E25</f>
        <v>7800</v>
      </c>
      <c r="Q18" s="59"/>
      <c r="R18" s="59"/>
      <c r="S18" s="59"/>
      <c r="T18" s="59"/>
      <c r="U18" s="59"/>
      <c r="V18" s="59"/>
      <c r="W18" s="59"/>
      <c r="X18" s="50">
        <f t="shared" si="23"/>
        <v>46</v>
      </c>
      <c r="Y18" s="60">
        <f t="shared" si="24"/>
        <v>128164.47961279507</v>
      </c>
      <c r="Z18" s="60">
        <f t="shared" si="1"/>
        <v>10000</v>
      </c>
      <c r="AA18" s="61">
        <f t="shared" si="8"/>
        <v>0</v>
      </c>
      <c r="AB18" s="60">
        <f t="shared" si="9"/>
        <v>9671.5135728956539</v>
      </c>
      <c r="AC18" s="60">
        <f t="shared" si="10"/>
        <v>147835.99318569072</v>
      </c>
      <c r="AD18" s="61">
        <f t="shared" si="11"/>
        <v>0</v>
      </c>
      <c r="AE18" s="50">
        <f t="shared" si="12"/>
        <v>0</v>
      </c>
      <c r="AH18" s="59">
        <f t="shared" si="2"/>
        <v>1</v>
      </c>
      <c r="AI18" s="50">
        <f t="shared" si="29"/>
        <v>46</v>
      </c>
      <c r="AJ18" s="60">
        <f t="shared" si="25"/>
        <v>99968.29409798015</v>
      </c>
      <c r="AK18" s="60">
        <f t="shared" si="3"/>
        <v>7800</v>
      </c>
      <c r="AL18" s="61">
        <f t="shared" si="13"/>
        <v>0</v>
      </c>
      <c r="AM18" s="60">
        <f t="shared" si="14"/>
        <v>7543.7805868586111</v>
      </c>
      <c r="AN18" s="60">
        <f t="shared" si="26"/>
        <v>115312.07468483876</v>
      </c>
      <c r="AO18" s="50">
        <f t="shared" si="15"/>
        <v>0</v>
      </c>
      <c r="AR18" s="59">
        <f t="shared" si="4"/>
        <v>1</v>
      </c>
      <c r="AS18" s="50">
        <f t="shared" si="30"/>
        <v>46</v>
      </c>
      <c r="AT18" s="60">
        <f t="shared" si="27"/>
        <v>206458.96955478334</v>
      </c>
      <c r="AU18" s="60">
        <f t="shared" si="5"/>
        <v>0</v>
      </c>
      <c r="AV18" s="61">
        <f>IF(AX17=0,0,IF(AS18=$E$31,-#REF!*AR18,IF(AS18&lt;$E$31,0,IF(-AV17*AR18&gt;AX17,-AX17,AV17*AR18))))</f>
        <v>0</v>
      </c>
      <c r="AW18" s="60">
        <f t="shared" si="16"/>
        <v>14452.127868834836</v>
      </c>
      <c r="AX18" s="60">
        <f t="shared" si="17"/>
        <v>220911.09742361816</v>
      </c>
      <c r="AY18" s="50">
        <f t="shared" si="18"/>
        <v>0</v>
      </c>
      <c r="BB18" s="59">
        <f t="shared" si="6"/>
        <v>1</v>
      </c>
      <c r="BC18" s="50">
        <f t="shared" si="31"/>
        <v>46</v>
      </c>
      <c r="BD18" s="60">
        <f t="shared" si="28"/>
        <v>128164.47961279507</v>
      </c>
      <c r="BE18" s="60">
        <f t="shared" si="7"/>
        <v>10000</v>
      </c>
      <c r="BF18" s="61">
        <f t="shared" si="19"/>
        <v>0</v>
      </c>
      <c r="BG18" s="60">
        <f t="shared" si="20"/>
        <v>9671.5135728956539</v>
      </c>
      <c r="BH18" s="60">
        <f t="shared" si="21"/>
        <v>147835.99318569072</v>
      </c>
      <c r="BI18" s="50">
        <f t="shared" si="22"/>
        <v>0</v>
      </c>
    </row>
    <row r="19" spans="2:61" x14ac:dyDescent="0.2">
      <c r="B19" s="23" t="s">
        <v>35</v>
      </c>
      <c r="E19" s="38">
        <f>F13</f>
        <v>112300</v>
      </c>
      <c r="H19" s="8"/>
      <c r="Q19" s="59">
        <f t="shared" si="0"/>
        <v>1</v>
      </c>
      <c r="R19" s="59"/>
      <c r="S19" s="59"/>
      <c r="T19" s="59"/>
      <c r="U19" s="59"/>
      <c r="V19" s="59"/>
      <c r="W19" s="59"/>
      <c r="X19" s="50">
        <f t="shared" si="23"/>
        <v>47</v>
      </c>
      <c r="Y19" s="60">
        <f t="shared" si="24"/>
        <v>147835.99318569072</v>
      </c>
      <c r="Z19" s="60">
        <f t="shared" si="1"/>
        <v>10000</v>
      </c>
      <c r="AA19" s="61">
        <f t="shared" si="8"/>
        <v>0</v>
      </c>
      <c r="AB19" s="60">
        <f t="shared" si="9"/>
        <v>11048.519522998351</v>
      </c>
      <c r="AC19" s="60">
        <f t="shared" si="10"/>
        <v>168884.51270868909</v>
      </c>
      <c r="AD19" s="61">
        <f t="shared" si="11"/>
        <v>0</v>
      </c>
      <c r="AE19" s="50">
        <f t="shared" si="12"/>
        <v>0</v>
      </c>
      <c r="AH19" s="59">
        <f t="shared" si="2"/>
        <v>1</v>
      </c>
      <c r="AI19" s="50">
        <f t="shared" si="29"/>
        <v>47</v>
      </c>
      <c r="AJ19" s="60">
        <f t="shared" si="25"/>
        <v>115312.07468483876</v>
      </c>
      <c r="AK19" s="60">
        <f t="shared" si="3"/>
        <v>7800</v>
      </c>
      <c r="AL19" s="61">
        <f t="shared" si="13"/>
        <v>0</v>
      </c>
      <c r="AM19" s="60">
        <f t="shared" si="14"/>
        <v>8617.8452279387147</v>
      </c>
      <c r="AN19" s="60">
        <f t="shared" si="26"/>
        <v>131729.91991277749</v>
      </c>
      <c r="AO19" s="50">
        <f t="shared" si="15"/>
        <v>0</v>
      </c>
      <c r="AR19" s="59">
        <f t="shared" si="4"/>
        <v>1</v>
      </c>
      <c r="AS19" s="50">
        <f t="shared" si="30"/>
        <v>47</v>
      </c>
      <c r="AT19" s="60">
        <f t="shared" si="27"/>
        <v>220911.09742361816</v>
      </c>
      <c r="AU19" s="60">
        <f t="shared" si="5"/>
        <v>0</v>
      </c>
      <c r="AV19" s="61">
        <f>IF(AX18=0,0,IF(AS19=$E$31,-#REF!*AR19,IF(AS19&lt;$E$31,0,IF(-AV18*AR19&gt;AX18,-AX18,AV18*AR19))))</f>
        <v>0</v>
      </c>
      <c r="AW19" s="60">
        <f t="shared" si="16"/>
        <v>15463.776819653272</v>
      </c>
      <c r="AX19" s="60">
        <f t="shared" si="17"/>
        <v>236374.87424327145</v>
      </c>
      <c r="AY19" s="50">
        <f t="shared" si="18"/>
        <v>0</v>
      </c>
      <c r="BB19" s="59">
        <f t="shared" si="6"/>
        <v>1</v>
      </c>
      <c r="BC19" s="50">
        <f t="shared" si="31"/>
        <v>47</v>
      </c>
      <c r="BD19" s="60">
        <f t="shared" si="28"/>
        <v>147835.99318569072</v>
      </c>
      <c r="BE19" s="60">
        <f t="shared" si="7"/>
        <v>10000</v>
      </c>
      <c r="BF19" s="61">
        <f t="shared" si="19"/>
        <v>0</v>
      </c>
      <c r="BG19" s="60">
        <f t="shared" si="20"/>
        <v>11048.519522998351</v>
      </c>
      <c r="BH19" s="60">
        <f t="shared" si="21"/>
        <v>168884.51270868909</v>
      </c>
      <c r="BI19" s="50">
        <f t="shared" si="22"/>
        <v>0</v>
      </c>
    </row>
    <row r="20" spans="2:61" ht="10" customHeight="1" x14ac:dyDescent="0.2">
      <c r="G20" s="13" t="s">
        <v>44</v>
      </c>
      <c r="H20" s="14">
        <f>E17</f>
        <v>10000</v>
      </c>
      <c r="Q20" s="59">
        <f t="shared" si="0"/>
        <v>1</v>
      </c>
      <c r="R20" s="59"/>
      <c r="S20" s="59"/>
      <c r="T20" s="59"/>
      <c r="U20" s="59"/>
      <c r="V20" s="59"/>
      <c r="W20" s="59"/>
      <c r="X20" s="50">
        <f t="shared" si="23"/>
        <v>48</v>
      </c>
      <c r="Y20" s="60">
        <f t="shared" si="24"/>
        <v>168884.51270868909</v>
      </c>
      <c r="Z20" s="60">
        <f t="shared" si="1"/>
        <v>10000</v>
      </c>
      <c r="AA20" s="61">
        <f t="shared" si="8"/>
        <v>0</v>
      </c>
      <c r="AB20" s="60">
        <f t="shared" si="9"/>
        <v>12521.915889608237</v>
      </c>
      <c r="AC20" s="60">
        <f t="shared" si="10"/>
        <v>191406.42859829732</v>
      </c>
      <c r="AD20" s="61">
        <f t="shared" si="11"/>
        <v>0</v>
      </c>
      <c r="AE20" s="50">
        <f t="shared" si="12"/>
        <v>0</v>
      </c>
      <c r="AH20" s="59">
        <f t="shared" si="2"/>
        <v>1</v>
      </c>
      <c r="AI20" s="50">
        <f t="shared" si="29"/>
        <v>48</v>
      </c>
      <c r="AJ20" s="60">
        <f t="shared" si="25"/>
        <v>131729.91991277749</v>
      </c>
      <c r="AK20" s="60">
        <f t="shared" si="3"/>
        <v>7800</v>
      </c>
      <c r="AL20" s="61">
        <f t="shared" si="13"/>
        <v>0</v>
      </c>
      <c r="AM20" s="60">
        <f t="shared" si="14"/>
        <v>9767.0943938944256</v>
      </c>
      <c r="AN20" s="60">
        <f t="shared" si="26"/>
        <v>149297.01430667192</v>
      </c>
      <c r="AO20" s="50">
        <f t="shared" si="15"/>
        <v>0</v>
      </c>
      <c r="AR20" s="59">
        <f t="shared" si="4"/>
        <v>1</v>
      </c>
      <c r="AS20" s="50">
        <f t="shared" si="30"/>
        <v>48</v>
      </c>
      <c r="AT20" s="60">
        <f t="shared" si="27"/>
        <v>236374.87424327145</v>
      </c>
      <c r="AU20" s="60">
        <f t="shared" si="5"/>
        <v>0</v>
      </c>
      <c r="AV20" s="61">
        <f>IF(AX19=0,0,IF(AS20=$E$31,-#REF!*AR20,IF(AS20&lt;$E$31,0,IF(-AV19*AR20&gt;AX19,-AX19,AV19*AR20))))</f>
        <v>0</v>
      </c>
      <c r="AW20" s="60">
        <f t="shared" si="16"/>
        <v>16546.241197029001</v>
      </c>
      <c r="AX20" s="60">
        <f t="shared" si="17"/>
        <v>252921.11544030046</v>
      </c>
      <c r="AY20" s="50">
        <f t="shared" si="18"/>
        <v>0</v>
      </c>
      <c r="BB20" s="59">
        <f t="shared" si="6"/>
        <v>1</v>
      </c>
      <c r="BC20" s="50">
        <f t="shared" si="31"/>
        <v>48</v>
      </c>
      <c r="BD20" s="60">
        <f t="shared" si="28"/>
        <v>168884.51270868909</v>
      </c>
      <c r="BE20" s="60">
        <f t="shared" si="7"/>
        <v>10000</v>
      </c>
      <c r="BF20" s="61">
        <f t="shared" si="19"/>
        <v>0</v>
      </c>
      <c r="BG20" s="60">
        <f t="shared" si="20"/>
        <v>12521.915889608237</v>
      </c>
      <c r="BH20" s="60">
        <f t="shared" si="21"/>
        <v>191406.42859829732</v>
      </c>
      <c r="BI20" s="50">
        <f t="shared" si="22"/>
        <v>0</v>
      </c>
    </row>
    <row r="21" spans="2:61" ht="19" x14ac:dyDescent="0.25">
      <c r="B21" s="21" t="s">
        <v>60</v>
      </c>
      <c r="C21" s="1"/>
      <c r="D21" s="1"/>
      <c r="E21" s="41">
        <v>0.1</v>
      </c>
      <c r="Q21" s="59">
        <f t="shared" si="0"/>
        <v>1</v>
      </c>
      <c r="R21" s="59"/>
      <c r="S21" s="59"/>
      <c r="T21" s="59"/>
      <c r="U21" s="59"/>
      <c r="V21" s="59"/>
      <c r="W21" s="59"/>
      <c r="X21" s="50">
        <f t="shared" si="23"/>
        <v>49</v>
      </c>
      <c r="Y21" s="60">
        <f t="shared" si="24"/>
        <v>191406.42859829732</v>
      </c>
      <c r="Z21" s="60">
        <f t="shared" si="1"/>
        <v>10000</v>
      </c>
      <c r="AA21" s="61">
        <f t="shared" si="8"/>
        <v>0</v>
      </c>
      <c r="AB21" s="60">
        <f t="shared" si="9"/>
        <v>14098.450001880814</v>
      </c>
      <c r="AC21" s="60">
        <f t="shared" si="10"/>
        <v>215504.87860017814</v>
      </c>
      <c r="AD21" s="61">
        <f t="shared" si="11"/>
        <v>0</v>
      </c>
      <c r="AE21" s="50">
        <f t="shared" si="12"/>
        <v>0</v>
      </c>
      <c r="AH21" s="59">
        <f t="shared" si="2"/>
        <v>1</v>
      </c>
      <c r="AI21" s="50">
        <f t="shared" si="29"/>
        <v>49</v>
      </c>
      <c r="AJ21" s="60">
        <f t="shared" si="25"/>
        <v>149297.01430667192</v>
      </c>
      <c r="AK21" s="60">
        <f t="shared" si="3"/>
        <v>7800</v>
      </c>
      <c r="AL21" s="61">
        <f t="shared" si="13"/>
        <v>0</v>
      </c>
      <c r="AM21" s="60">
        <f t="shared" si="14"/>
        <v>10996.791001467036</v>
      </c>
      <c r="AN21" s="60">
        <f t="shared" si="26"/>
        <v>168093.80530813895</v>
      </c>
      <c r="AO21" s="50">
        <f t="shared" si="15"/>
        <v>0</v>
      </c>
      <c r="AR21" s="59">
        <f t="shared" si="4"/>
        <v>1</v>
      </c>
      <c r="AS21" s="50">
        <f t="shared" si="30"/>
        <v>49</v>
      </c>
      <c r="AT21" s="60">
        <f t="shared" si="27"/>
        <v>252921.11544030046</v>
      </c>
      <c r="AU21" s="60">
        <f t="shared" si="5"/>
        <v>0</v>
      </c>
      <c r="AV21" s="61">
        <f>IF(AX20=0,0,IF(AS21=$E$31,-#REF!*AR21,IF(AS21&lt;$E$31,0,IF(-AV20*AR21&gt;AX20,-AX20,AV20*AR21))))</f>
        <v>0</v>
      </c>
      <c r="AW21" s="60">
        <f t="shared" si="16"/>
        <v>17704.478080821034</v>
      </c>
      <c r="AX21" s="60">
        <f t="shared" si="17"/>
        <v>270625.59352112148</v>
      </c>
      <c r="AY21" s="50">
        <f t="shared" si="18"/>
        <v>0</v>
      </c>
      <c r="BB21" s="59">
        <f t="shared" si="6"/>
        <v>1</v>
      </c>
      <c r="BC21" s="50">
        <f t="shared" si="31"/>
        <v>49</v>
      </c>
      <c r="BD21" s="60">
        <f t="shared" si="28"/>
        <v>191406.42859829732</v>
      </c>
      <c r="BE21" s="60">
        <f t="shared" si="7"/>
        <v>10000</v>
      </c>
      <c r="BF21" s="61">
        <f t="shared" si="19"/>
        <v>0</v>
      </c>
      <c r="BG21" s="60">
        <f t="shared" si="20"/>
        <v>14098.450001880814</v>
      </c>
      <c r="BH21" s="60">
        <f t="shared" si="21"/>
        <v>215504.87860017814</v>
      </c>
      <c r="BI21" s="50">
        <f t="shared" si="22"/>
        <v>0</v>
      </c>
    </row>
    <row r="22" spans="2:61" x14ac:dyDescent="0.2">
      <c r="B22" s="23" t="s">
        <v>61</v>
      </c>
      <c r="E22" s="22">
        <f>E21-3%</f>
        <v>7.0000000000000007E-2</v>
      </c>
      <c r="H22" s="8"/>
      <c r="Q22" s="59">
        <f t="shared" si="0"/>
        <v>1</v>
      </c>
      <c r="R22" s="59"/>
      <c r="S22" s="59"/>
      <c r="T22" s="59"/>
      <c r="U22" s="59"/>
      <c r="V22" s="59"/>
      <c r="W22" s="59"/>
      <c r="X22" s="50">
        <f t="shared" si="23"/>
        <v>50</v>
      </c>
      <c r="Y22" s="60">
        <f t="shared" si="24"/>
        <v>215504.87860017814</v>
      </c>
      <c r="Z22" s="60">
        <f t="shared" si="1"/>
        <v>10000</v>
      </c>
      <c r="AA22" s="61">
        <f t="shared" si="8"/>
        <v>0</v>
      </c>
      <c r="AB22" s="60">
        <f t="shared" si="9"/>
        <v>15785.341502012472</v>
      </c>
      <c r="AC22" s="60">
        <f>IF(SUM(Y22:AB22)&lt;0,0,(SUM(Y22:AB22)))</f>
        <v>241290.22010219062</v>
      </c>
      <c r="AD22" s="61">
        <f t="shared" si="11"/>
        <v>0</v>
      </c>
      <c r="AE22" s="50">
        <f t="shared" si="12"/>
        <v>0</v>
      </c>
      <c r="AH22" s="59">
        <f t="shared" si="2"/>
        <v>1</v>
      </c>
      <c r="AI22" s="50">
        <f t="shared" si="29"/>
        <v>50</v>
      </c>
      <c r="AJ22" s="60">
        <f t="shared" si="25"/>
        <v>168093.80530813895</v>
      </c>
      <c r="AK22" s="60">
        <f t="shared" si="3"/>
        <v>7800</v>
      </c>
      <c r="AL22" s="61">
        <f t="shared" si="13"/>
        <v>0</v>
      </c>
      <c r="AM22" s="60">
        <f t="shared" si="14"/>
        <v>12312.566371569728</v>
      </c>
      <c r="AN22" s="60">
        <f t="shared" si="26"/>
        <v>188206.37167970868</v>
      </c>
      <c r="AO22" s="50">
        <f t="shared" si="15"/>
        <v>0</v>
      </c>
      <c r="AR22" s="59">
        <f t="shared" si="4"/>
        <v>1</v>
      </c>
      <c r="AS22" s="50">
        <f t="shared" si="30"/>
        <v>50</v>
      </c>
      <c r="AT22" s="60">
        <f t="shared" si="27"/>
        <v>270625.59352112148</v>
      </c>
      <c r="AU22" s="60">
        <f t="shared" si="5"/>
        <v>0</v>
      </c>
      <c r="AV22" s="61">
        <f>IF(AX21=0,0,IF(AS22=$E$31,-#REF!*AR22,IF(AS22&lt;$E$31,0,IF(-AV21*AR22&gt;AX21,-AX21,AV21*AR22))))</f>
        <v>0</v>
      </c>
      <c r="AW22" s="60">
        <f t="shared" si="16"/>
        <v>18943.791546478504</v>
      </c>
      <c r="AX22" s="60">
        <f t="shared" si="17"/>
        <v>289569.3850676</v>
      </c>
      <c r="AY22" s="50">
        <f t="shared" si="18"/>
        <v>0</v>
      </c>
      <c r="BB22" s="59">
        <f t="shared" si="6"/>
        <v>1</v>
      </c>
      <c r="BC22" s="50">
        <f t="shared" si="31"/>
        <v>50</v>
      </c>
      <c r="BD22" s="60">
        <f t="shared" si="28"/>
        <v>215504.87860017814</v>
      </c>
      <c r="BE22" s="60">
        <f t="shared" si="7"/>
        <v>10000</v>
      </c>
      <c r="BF22" s="61">
        <f t="shared" si="19"/>
        <v>0</v>
      </c>
      <c r="BG22" s="60">
        <f t="shared" si="20"/>
        <v>15785.341502012472</v>
      </c>
      <c r="BH22" s="60">
        <f t="shared" si="21"/>
        <v>241290.22010219062</v>
      </c>
      <c r="BI22" s="50">
        <f t="shared" si="22"/>
        <v>0</v>
      </c>
    </row>
    <row r="23" spans="2:61" ht="9" customHeight="1" x14ac:dyDescent="0.2">
      <c r="B23" s="13" t="s">
        <v>59</v>
      </c>
      <c r="C23" s="13"/>
      <c r="D23" s="13"/>
      <c r="E23" s="14">
        <f>F121</f>
        <v>18140</v>
      </c>
      <c r="Q23" s="59">
        <f t="shared" si="0"/>
        <v>1</v>
      </c>
      <c r="R23" s="59"/>
      <c r="S23" s="59"/>
      <c r="T23" s="59"/>
      <c r="U23" s="59"/>
      <c r="V23" s="59"/>
      <c r="W23" s="59"/>
      <c r="X23" s="50">
        <f t="shared" si="23"/>
        <v>51</v>
      </c>
      <c r="Y23" s="60">
        <f t="shared" si="24"/>
        <v>241290.22010219062</v>
      </c>
      <c r="Z23" s="60">
        <f t="shared" si="1"/>
        <v>10000</v>
      </c>
      <c r="AA23" s="61">
        <f t="shared" si="8"/>
        <v>0</v>
      </c>
      <c r="AB23" s="60">
        <f t="shared" si="9"/>
        <v>17590.315407153346</v>
      </c>
      <c r="AC23" s="60">
        <f t="shared" si="10"/>
        <v>268880.53550934396</v>
      </c>
      <c r="AD23" s="61">
        <f t="shared" si="11"/>
        <v>0</v>
      </c>
      <c r="AE23" s="50">
        <f t="shared" si="12"/>
        <v>0</v>
      </c>
      <c r="AH23" s="59">
        <f t="shared" si="2"/>
        <v>1</v>
      </c>
      <c r="AI23" s="50">
        <f t="shared" si="29"/>
        <v>51</v>
      </c>
      <c r="AJ23" s="60">
        <f t="shared" si="25"/>
        <v>188206.37167970868</v>
      </c>
      <c r="AK23" s="60">
        <f t="shared" si="3"/>
        <v>7800</v>
      </c>
      <c r="AL23" s="61">
        <f t="shared" si="13"/>
        <v>0</v>
      </c>
      <c r="AM23" s="60">
        <f t="shared" si="14"/>
        <v>13720.446017579608</v>
      </c>
      <c r="AN23" s="60">
        <f t="shared" si="26"/>
        <v>209726.81769728829</v>
      </c>
      <c r="AO23" s="50">
        <f t="shared" si="15"/>
        <v>0</v>
      </c>
      <c r="AR23" s="59">
        <f t="shared" si="4"/>
        <v>1</v>
      </c>
      <c r="AS23" s="50">
        <f t="shared" si="30"/>
        <v>51</v>
      </c>
      <c r="AT23" s="60">
        <f t="shared" si="27"/>
        <v>289569.3850676</v>
      </c>
      <c r="AU23" s="60">
        <f t="shared" si="5"/>
        <v>0</v>
      </c>
      <c r="AV23" s="61">
        <f>IF(AX22=0,0,IF(AS23=$E$31,-#REF!*AR23,IF(AS23&lt;$E$31,0,IF(-AV22*AR23&gt;AX22,-AX22,AV22*AR23))))</f>
        <v>0</v>
      </c>
      <c r="AW23" s="60">
        <f t="shared" si="16"/>
        <v>20269.856954732</v>
      </c>
      <c r="AX23" s="60">
        <f t="shared" si="17"/>
        <v>309839.24202233198</v>
      </c>
      <c r="AY23" s="50">
        <f t="shared" si="18"/>
        <v>0</v>
      </c>
      <c r="BB23" s="59">
        <f t="shared" si="6"/>
        <v>1</v>
      </c>
      <c r="BC23" s="50">
        <f t="shared" si="31"/>
        <v>51</v>
      </c>
      <c r="BD23" s="60">
        <f t="shared" si="28"/>
        <v>241290.22010219062</v>
      </c>
      <c r="BE23" s="60">
        <f t="shared" si="7"/>
        <v>10000</v>
      </c>
      <c r="BF23" s="61">
        <f t="shared" si="19"/>
        <v>0</v>
      </c>
      <c r="BG23" s="60">
        <f t="shared" si="20"/>
        <v>17590.315407153346</v>
      </c>
      <c r="BH23" s="60">
        <f t="shared" si="21"/>
        <v>268880.53550934396</v>
      </c>
      <c r="BI23" s="50">
        <f t="shared" si="22"/>
        <v>0</v>
      </c>
    </row>
    <row r="24" spans="2:61" ht="8" customHeight="1" x14ac:dyDescent="0.2">
      <c r="B24" s="13" t="s">
        <v>67</v>
      </c>
      <c r="C24" s="13"/>
      <c r="D24" s="13"/>
      <c r="E24" s="14">
        <f>H121</f>
        <v>15940</v>
      </c>
      <c r="F24" s="3"/>
      <c r="H24" s="3"/>
      <c r="Q24" s="59">
        <f t="shared" si="0"/>
        <v>1</v>
      </c>
      <c r="R24" s="59"/>
      <c r="S24" s="59"/>
      <c r="T24" s="59"/>
      <c r="U24" s="59"/>
      <c r="V24" s="59"/>
      <c r="W24" s="59"/>
      <c r="X24" s="50">
        <f>X23+1</f>
        <v>52</v>
      </c>
      <c r="Y24" s="60">
        <f>AC23</f>
        <v>268880.53550934396</v>
      </c>
      <c r="Z24" s="60">
        <f t="shared" si="1"/>
        <v>10000</v>
      </c>
      <c r="AA24" s="61">
        <f t="shared" si="8"/>
        <v>0</v>
      </c>
      <c r="AB24" s="60">
        <f t="shared" si="9"/>
        <v>19521.637485654079</v>
      </c>
      <c r="AC24" s="60">
        <f t="shared" si="10"/>
        <v>298402.17299499805</v>
      </c>
      <c r="AD24" s="61">
        <f t="shared" si="11"/>
        <v>0</v>
      </c>
      <c r="AE24" s="50">
        <f t="shared" si="12"/>
        <v>0</v>
      </c>
      <c r="AH24" s="59">
        <f t="shared" si="2"/>
        <v>1</v>
      </c>
      <c r="AI24" s="50">
        <f>AI23+1</f>
        <v>52</v>
      </c>
      <c r="AJ24" s="60">
        <f>AN23</f>
        <v>209726.81769728829</v>
      </c>
      <c r="AK24" s="60">
        <f t="shared" si="3"/>
        <v>7800</v>
      </c>
      <c r="AL24" s="61">
        <f t="shared" si="13"/>
        <v>0</v>
      </c>
      <c r="AM24" s="60">
        <f t="shared" si="14"/>
        <v>15226.877238810182</v>
      </c>
      <c r="AN24" s="60">
        <f t="shared" si="26"/>
        <v>232753.69493609847</v>
      </c>
      <c r="AO24" s="50">
        <f t="shared" si="15"/>
        <v>0</v>
      </c>
      <c r="AR24" s="59">
        <f t="shared" si="4"/>
        <v>1</v>
      </c>
      <c r="AS24" s="50">
        <f>AS23+1</f>
        <v>52</v>
      </c>
      <c r="AT24" s="60">
        <f>AX23</f>
        <v>309839.24202233198</v>
      </c>
      <c r="AU24" s="60">
        <f t="shared" si="5"/>
        <v>0</v>
      </c>
      <c r="AV24" s="61">
        <f>IF(AX23=0,0,IF(AS24=$E$31,-#REF!*AR24,IF(AS24&lt;$E$31,0,IF(-AV23*AR24&gt;AX23,-AX23,AV23*AR24))))</f>
        <v>0</v>
      </c>
      <c r="AW24" s="60">
        <f t="shared" si="16"/>
        <v>21688.74694156324</v>
      </c>
      <c r="AX24" s="60">
        <f t="shared" si="17"/>
        <v>331527.98896389524</v>
      </c>
      <c r="AY24" s="50">
        <f t="shared" si="18"/>
        <v>0</v>
      </c>
      <c r="BB24" s="59">
        <f t="shared" si="6"/>
        <v>1</v>
      </c>
      <c r="BC24" s="50">
        <f>BC23+1</f>
        <v>52</v>
      </c>
      <c r="BD24" s="60">
        <f>BH23</f>
        <v>268880.53550934396</v>
      </c>
      <c r="BE24" s="60">
        <f t="shared" si="7"/>
        <v>10000</v>
      </c>
      <c r="BF24" s="61">
        <f t="shared" si="19"/>
        <v>0</v>
      </c>
      <c r="BG24" s="60">
        <f t="shared" si="20"/>
        <v>19521.637485654079</v>
      </c>
      <c r="BH24" s="60">
        <f t="shared" si="21"/>
        <v>298402.17299499805</v>
      </c>
      <c r="BI24" s="50">
        <f t="shared" si="22"/>
        <v>0</v>
      </c>
    </row>
    <row r="25" spans="2:61" x14ac:dyDescent="0.2">
      <c r="B25" t="s">
        <v>62</v>
      </c>
      <c r="E25" s="29">
        <f>E23-E24</f>
        <v>2200</v>
      </c>
      <c r="Q25" s="59">
        <f t="shared" si="0"/>
        <v>1</v>
      </c>
      <c r="R25" s="59"/>
      <c r="S25" s="59"/>
      <c r="T25" s="59"/>
      <c r="U25" s="59"/>
      <c r="V25" s="59"/>
      <c r="W25" s="59"/>
      <c r="X25" s="50">
        <f t="shared" si="23"/>
        <v>53</v>
      </c>
      <c r="Y25" s="60">
        <f t="shared" si="24"/>
        <v>298402.17299499805</v>
      </c>
      <c r="Z25" s="60">
        <f t="shared" si="1"/>
        <v>10000</v>
      </c>
      <c r="AA25" s="61">
        <f t="shared" si="8"/>
        <v>0</v>
      </c>
      <c r="AB25" s="60">
        <f t="shared" si="9"/>
        <v>21588.152109649865</v>
      </c>
      <c r="AC25" s="60">
        <f t="shared" si="10"/>
        <v>329990.3251046479</v>
      </c>
      <c r="AD25" s="61">
        <f t="shared" si="11"/>
        <v>0</v>
      </c>
      <c r="AE25" s="50">
        <f t="shared" si="12"/>
        <v>0</v>
      </c>
      <c r="AH25" s="59">
        <f t="shared" si="2"/>
        <v>1</v>
      </c>
      <c r="AI25" s="50">
        <f t="shared" si="29"/>
        <v>53</v>
      </c>
      <c r="AJ25" s="60">
        <f t="shared" si="25"/>
        <v>232753.69493609847</v>
      </c>
      <c r="AK25" s="60">
        <f t="shared" si="3"/>
        <v>7800</v>
      </c>
      <c r="AL25" s="61">
        <f t="shared" si="13"/>
        <v>0</v>
      </c>
      <c r="AM25" s="60">
        <f t="shared" si="14"/>
        <v>16838.758645526894</v>
      </c>
      <c r="AN25" s="60">
        <f t="shared" si="26"/>
        <v>257392.45358162536</v>
      </c>
      <c r="AO25" s="50">
        <f t="shared" si="15"/>
        <v>0</v>
      </c>
      <c r="AR25" s="59">
        <f t="shared" si="4"/>
        <v>1</v>
      </c>
      <c r="AS25" s="50">
        <f t="shared" si="30"/>
        <v>53</v>
      </c>
      <c r="AT25" s="60">
        <f t="shared" si="27"/>
        <v>331527.98896389524</v>
      </c>
      <c r="AU25" s="60">
        <f t="shared" si="5"/>
        <v>0</v>
      </c>
      <c r="AV25" s="61">
        <f>IF(AX24=0,0,IF(AS25=$E$31,-#REF!*AR25,IF(AS25&lt;$E$31,0,IF(-AV24*AR25&gt;AX24,-AX24,AV24*AR25))))</f>
        <v>0</v>
      </c>
      <c r="AW25" s="60">
        <f t="shared" si="16"/>
        <v>23206.959227472671</v>
      </c>
      <c r="AX25" s="60">
        <f t="shared" si="17"/>
        <v>354734.9481913679</v>
      </c>
      <c r="AY25" s="50">
        <f t="shared" si="18"/>
        <v>0</v>
      </c>
      <c r="BB25" s="59">
        <f t="shared" si="6"/>
        <v>1</v>
      </c>
      <c r="BC25" s="50">
        <f t="shared" si="31"/>
        <v>53</v>
      </c>
      <c r="BD25" s="60">
        <f t="shared" si="28"/>
        <v>298402.17299499805</v>
      </c>
      <c r="BE25" s="60">
        <f t="shared" si="7"/>
        <v>10000</v>
      </c>
      <c r="BF25" s="61">
        <f t="shared" si="19"/>
        <v>0</v>
      </c>
      <c r="BG25" s="60">
        <f t="shared" si="20"/>
        <v>21588.152109649865</v>
      </c>
      <c r="BH25" s="60">
        <f t="shared" si="21"/>
        <v>329990.3251046479</v>
      </c>
      <c r="BI25" s="50">
        <f t="shared" si="22"/>
        <v>0</v>
      </c>
    </row>
    <row r="26" spans="2:61" ht="8" customHeight="1" x14ac:dyDescent="0.2">
      <c r="Q26" s="59">
        <f t="shared" si="0"/>
        <v>1</v>
      </c>
      <c r="R26" s="59"/>
      <c r="S26" s="59"/>
      <c r="T26" s="59"/>
      <c r="U26" s="59"/>
      <c r="V26" s="59"/>
      <c r="W26" s="59"/>
      <c r="X26" s="50">
        <f t="shared" si="23"/>
        <v>54</v>
      </c>
      <c r="Y26" s="60">
        <f t="shared" si="24"/>
        <v>329990.3251046479</v>
      </c>
      <c r="Z26" s="60">
        <f t="shared" si="1"/>
        <v>10000</v>
      </c>
      <c r="AA26" s="61">
        <f t="shared" si="8"/>
        <v>0</v>
      </c>
      <c r="AB26" s="60">
        <f t="shared" si="9"/>
        <v>23799.322757325353</v>
      </c>
      <c r="AC26" s="60">
        <f t="shared" si="10"/>
        <v>363789.64786197327</v>
      </c>
      <c r="AD26" s="61">
        <f t="shared" si="11"/>
        <v>0</v>
      </c>
      <c r="AE26" s="50">
        <f t="shared" si="12"/>
        <v>0</v>
      </c>
      <c r="AH26" s="59">
        <f t="shared" si="2"/>
        <v>1</v>
      </c>
      <c r="AI26" s="50">
        <f t="shared" si="29"/>
        <v>54</v>
      </c>
      <c r="AJ26" s="60">
        <f t="shared" si="25"/>
        <v>257392.45358162536</v>
      </c>
      <c r="AK26" s="60">
        <f t="shared" si="3"/>
        <v>7800</v>
      </c>
      <c r="AL26" s="61">
        <f t="shared" si="13"/>
        <v>0</v>
      </c>
      <c r="AM26" s="60">
        <f t="shared" si="14"/>
        <v>18563.471750713776</v>
      </c>
      <c r="AN26" s="60">
        <f t="shared" si="26"/>
        <v>283755.92533233913</v>
      </c>
      <c r="AO26" s="50">
        <f t="shared" si="15"/>
        <v>0</v>
      </c>
      <c r="AR26" s="59">
        <f t="shared" si="4"/>
        <v>1</v>
      </c>
      <c r="AS26" s="50">
        <f t="shared" si="30"/>
        <v>54</v>
      </c>
      <c r="AT26" s="60">
        <f t="shared" si="27"/>
        <v>354734.9481913679</v>
      </c>
      <c r="AU26" s="60">
        <f t="shared" si="5"/>
        <v>0</v>
      </c>
      <c r="AV26" s="61">
        <f>IF(AX25=0,0,IF(AS26=$E$31,-#REF!*AR26,IF(AS26&lt;$E$31,0,IF(-AV25*AR26&gt;AX25,-AX25,AV25*AR26))))</f>
        <v>0</v>
      </c>
      <c r="AW26" s="60">
        <f t="shared" si="16"/>
        <v>24831.446373395756</v>
      </c>
      <c r="AX26" s="60">
        <f t="shared" si="17"/>
        <v>379566.39456476364</v>
      </c>
      <c r="AY26" s="50">
        <f t="shared" si="18"/>
        <v>0</v>
      </c>
      <c r="BB26" s="59">
        <f t="shared" si="6"/>
        <v>1</v>
      </c>
      <c r="BC26" s="50">
        <f t="shared" si="31"/>
        <v>54</v>
      </c>
      <c r="BD26" s="60">
        <f t="shared" si="28"/>
        <v>329990.3251046479</v>
      </c>
      <c r="BE26" s="60">
        <f t="shared" si="7"/>
        <v>10000</v>
      </c>
      <c r="BF26" s="61">
        <f t="shared" si="19"/>
        <v>0</v>
      </c>
      <c r="BG26" s="60">
        <f t="shared" si="20"/>
        <v>23799.322757325353</v>
      </c>
      <c r="BH26" s="60">
        <f t="shared" si="21"/>
        <v>363789.64786197327</v>
      </c>
      <c r="BI26" s="50">
        <f t="shared" si="22"/>
        <v>0</v>
      </c>
    </row>
    <row r="27" spans="2:61" ht="19" x14ac:dyDescent="0.25">
      <c r="B27" s="21" t="s">
        <v>56</v>
      </c>
      <c r="C27" s="1"/>
      <c r="D27" s="1"/>
      <c r="E27" s="20">
        <f>E25/E17</f>
        <v>0.22</v>
      </c>
      <c r="Q27" s="59">
        <f t="shared" si="0"/>
        <v>1</v>
      </c>
      <c r="R27" s="59"/>
      <c r="S27" s="59"/>
      <c r="T27" s="59"/>
      <c r="U27" s="59"/>
      <c r="V27" s="59"/>
      <c r="W27" s="59"/>
      <c r="X27" s="50">
        <f t="shared" si="23"/>
        <v>55</v>
      </c>
      <c r="Y27" s="60">
        <f t="shared" si="24"/>
        <v>363789.64786197327</v>
      </c>
      <c r="Z27" s="60">
        <f t="shared" si="1"/>
        <v>10000</v>
      </c>
      <c r="AA27" s="61">
        <f t="shared" si="8"/>
        <v>0</v>
      </c>
      <c r="AB27" s="60">
        <f t="shared" si="9"/>
        <v>26165.275350338132</v>
      </c>
      <c r="AC27" s="60">
        <f t="shared" si="10"/>
        <v>399954.92321231141</v>
      </c>
      <c r="AD27" s="61">
        <f t="shared" si="11"/>
        <v>0</v>
      </c>
      <c r="AE27" s="50">
        <f t="shared" si="12"/>
        <v>0</v>
      </c>
      <c r="AH27" s="59">
        <f t="shared" si="2"/>
        <v>1</v>
      </c>
      <c r="AI27" s="50">
        <f t="shared" si="29"/>
        <v>55</v>
      </c>
      <c r="AJ27" s="60">
        <f t="shared" si="25"/>
        <v>283755.92533233913</v>
      </c>
      <c r="AK27" s="60">
        <f t="shared" si="3"/>
        <v>7800</v>
      </c>
      <c r="AL27" s="61">
        <f t="shared" si="13"/>
        <v>0</v>
      </c>
      <c r="AM27" s="60">
        <f t="shared" si="14"/>
        <v>20408.914773263739</v>
      </c>
      <c r="AN27" s="60">
        <f t="shared" si="26"/>
        <v>311964.84010560287</v>
      </c>
      <c r="AO27" s="50">
        <f t="shared" si="15"/>
        <v>0</v>
      </c>
      <c r="AR27" s="59">
        <f t="shared" si="4"/>
        <v>1</v>
      </c>
      <c r="AS27" s="50">
        <f t="shared" si="30"/>
        <v>55</v>
      </c>
      <c r="AT27" s="60">
        <f t="shared" si="27"/>
        <v>379566.39456476364</v>
      </c>
      <c r="AU27" s="60">
        <f t="shared" si="5"/>
        <v>0</v>
      </c>
      <c r="AV27" s="61">
        <f>IF(AX26=0,0,IF(AS27=$E$31,-#REF!*AR27,IF(AS27&lt;$E$31,0,IF(-AV26*AR27&gt;AX26,-AX26,AV26*AR27))))</f>
        <v>0</v>
      </c>
      <c r="AW27" s="60">
        <f t="shared" si="16"/>
        <v>26569.647619533458</v>
      </c>
      <c r="AX27" s="60">
        <f t="shared" si="17"/>
        <v>406136.04218429711</v>
      </c>
      <c r="AY27" s="50">
        <f t="shared" si="18"/>
        <v>0</v>
      </c>
      <c r="BB27" s="59">
        <f t="shared" si="6"/>
        <v>1</v>
      </c>
      <c r="BC27" s="50">
        <f t="shared" si="31"/>
        <v>55</v>
      </c>
      <c r="BD27" s="60">
        <f t="shared" si="28"/>
        <v>363789.64786197327</v>
      </c>
      <c r="BE27" s="60">
        <f t="shared" si="7"/>
        <v>10000</v>
      </c>
      <c r="BF27" s="61">
        <f t="shared" si="19"/>
        <v>0</v>
      </c>
      <c r="BG27" s="60">
        <f t="shared" si="20"/>
        <v>26165.275350338132</v>
      </c>
      <c r="BH27" s="60">
        <f t="shared" si="21"/>
        <v>399954.92321231141</v>
      </c>
      <c r="BI27" s="50">
        <f t="shared" si="22"/>
        <v>0</v>
      </c>
    </row>
    <row r="28" spans="2:61" x14ac:dyDescent="0.2">
      <c r="H28" s="82"/>
      <c r="I28" s="82"/>
      <c r="J28" s="81"/>
      <c r="K28" s="81"/>
      <c r="L28" s="81"/>
      <c r="M28" s="81"/>
      <c r="Q28" s="59">
        <f t="shared" si="0"/>
        <v>1</v>
      </c>
      <c r="R28" s="59"/>
      <c r="S28" s="59"/>
      <c r="T28" s="59"/>
      <c r="U28" s="59"/>
      <c r="V28" s="59"/>
      <c r="W28" s="59"/>
      <c r="X28" s="50">
        <f t="shared" si="23"/>
        <v>56</v>
      </c>
      <c r="Y28" s="60">
        <f t="shared" si="24"/>
        <v>399954.92321231141</v>
      </c>
      <c r="Z28" s="60">
        <f t="shared" si="1"/>
        <v>10000</v>
      </c>
      <c r="AA28" s="61">
        <f t="shared" si="8"/>
        <v>0</v>
      </c>
      <c r="AB28" s="60">
        <f t="shared" si="9"/>
        <v>28696.844624861802</v>
      </c>
      <c r="AC28" s="60">
        <f t="shared" si="10"/>
        <v>438651.76783717319</v>
      </c>
      <c r="AD28" s="61">
        <f t="shared" si="11"/>
        <v>0</v>
      </c>
      <c r="AE28" s="50">
        <f t="shared" si="12"/>
        <v>0</v>
      </c>
      <c r="AH28" s="59">
        <f t="shared" si="2"/>
        <v>1</v>
      </c>
      <c r="AI28" s="50">
        <f t="shared" si="29"/>
        <v>56</v>
      </c>
      <c r="AJ28" s="60">
        <f t="shared" si="25"/>
        <v>311964.84010560287</v>
      </c>
      <c r="AK28" s="60">
        <f t="shared" si="3"/>
        <v>7800</v>
      </c>
      <c r="AL28" s="61">
        <f t="shared" si="13"/>
        <v>0</v>
      </c>
      <c r="AM28" s="60">
        <f t="shared" si="14"/>
        <v>22383.538807392204</v>
      </c>
      <c r="AN28" s="60">
        <f t="shared" si="26"/>
        <v>342148.37891299505</v>
      </c>
      <c r="AO28" s="50">
        <f t="shared" si="15"/>
        <v>0</v>
      </c>
      <c r="AR28" s="59">
        <f t="shared" si="4"/>
        <v>1</v>
      </c>
      <c r="AS28" s="50">
        <f t="shared" si="30"/>
        <v>56</v>
      </c>
      <c r="AT28" s="60">
        <f t="shared" si="27"/>
        <v>406136.04218429711</v>
      </c>
      <c r="AU28" s="60">
        <f t="shared" si="5"/>
        <v>0</v>
      </c>
      <c r="AV28" s="61">
        <f>IF(AX27=0,0,IF(AS28=$E$31,-#REF!*AR28,IF(AS28&lt;$E$31,0,IF(-AV27*AR28&gt;AX27,-AX27,AV27*AR28))))</f>
        <v>0</v>
      </c>
      <c r="AW28" s="60">
        <f t="shared" si="16"/>
        <v>28429.522952900799</v>
      </c>
      <c r="AX28" s="60">
        <f t="shared" si="17"/>
        <v>434565.5651371979</v>
      </c>
      <c r="AY28" s="50">
        <f t="shared" si="18"/>
        <v>0</v>
      </c>
      <c r="BB28" s="59">
        <f t="shared" si="6"/>
        <v>1</v>
      </c>
      <c r="BC28" s="50">
        <f t="shared" si="31"/>
        <v>56</v>
      </c>
      <c r="BD28" s="60">
        <f t="shared" si="28"/>
        <v>399954.92321231141</v>
      </c>
      <c r="BE28" s="60">
        <f t="shared" si="7"/>
        <v>10000</v>
      </c>
      <c r="BF28" s="61">
        <f t="shared" si="19"/>
        <v>0</v>
      </c>
      <c r="BG28" s="60">
        <f t="shared" si="20"/>
        <v>28696.844624861802</v>
      </c>
      <c r="BH28" s="60">
        <f t="shared" si="21"/>
        <v>438651.76783717319</v>
      </c>
      <c r="BI28" s="50">
        <f t="shared" si="22"/>
        <v>0</v>
      </c>
    </row>
    <row r="29" spans="2:61" ht="9" customHeight="1" x14ac:dyDescent="0.2">
      <c r="Q29" s="59">
        <f t="shared" si="0"/>
        <v>1</v>
      </c>
      <c r="R29" s="59"/>
      <c r="S29" s="59"/>
      <c r="T29" s="59"/>
      <c r="U29" s="59"/>
      <c r="V29" s="59"/>
      <c r="W29" s="59"/>
      <c r="X29" s="50">
        <f t="shared" si="23"/>
        <v>57</v>
      </c>
      <c r="Y29" s="60">
        <f t="shared" si="24"/>
        <v>438651.76783717319</v>
      </c>
      <c r="Z29" s="60">
        <f t="shared" si="1"/>
        <v>10000</v>
      </c>
      <c r="AA29" s="61">
        <f t="shared" si="8"/>
        <v>0</v>
      </c>
      <c r="AB29" s="60">
        <f t="shared" si="9"/>
        <v>31405.623748602127</v>
      </c>
      <c r="AC29" s="60">
        <f t="shared" si="10"/>
        <v>480057.3915857753</v>
      </c>
      <c r="AD29" s="61">
        <f t="shared" si="11"/>
        <v>0</v>
      </c>
      <c r="AE29" s="50">
        <f t="shared" si="12"/>
        <v>0</v>
      </c>
      <c r="AH29" s="59">
        <f t="shared" si="2"/>
        <v>1</v>
      </c>
      <c r="AI29" s="50">
        <f t="shared" si="29"/>
        <v>57</v>
      </c>
      <c r="AJ29" s="60">
        <f t="shared" si="25"/>
        <v>342148.37891299505</v>
      </c>
      <c r="AK29" s="60">
        <f t="shared" si="3"/>
        <v>7800</v>
      </c>
      <c r="AL29" s="61">
        <f t="shared" si="13"/>
        <v>0</v>
      </c>
      <c r="AM29" s="60">
        <f t="shared" si="14"/>
        <v>24496.386523909656</v>
      </c>
      <c r="AN29" s="60">
        <f t="shared" si="26"/>
        <v>374444.76543690468</v>
      </c>
      <c r="AO29" s="50">
        <f t="shared" si="15"/>
        <v>0</v>
      </c>
      <c r="AR29" s="59">
        <f t="shared" si="4"/>
        <v>1</v>
      </c>
      <c r="AS29" s="50">
        <f t="shared" si="30"/>
        <v>57</v>
      </c>
      <c r="AT29" s="60">
        <f t="shared" si="27"/>
        <v>434565.5651371979</v>
      </c>
      <c r="AU29" s="60">
        <f t="shared" si="5"/>
        <v>0</v>
      </c>
      <c r="AV29" s="61">
        <f>IF(AX28=0,0,IF(AS29=$E$31,-#REF!*AR29,IF(AS29&lt;$E$31,0,IF(-AV28*AR29&gt;AX28,-AX28,AV28*AR29))))</f>
        <v>0</v>
      </c>
      <c r="AW29" s="60">
        <f t="shared" si="16"/>
        <v>30419.589559603857</v>
      </c>
      <c r="AX29" s="60">
        <f t="shared" si="17"/>
        <v>464985.15469680174</v>
      </c>
      <c r="AY29" s="50">
        <f t="shared" si="18"/>
        <v>0</v>
      </c>
      <c r="BB29" s="59">
        <f t="shared" si="6"/>
        <v>1</v>
      </c>
      <c r="BC29" s="50">
        <f t="shared" si="31"/>
        <v>57</v>
      </c>
      <c r="BD29" s="60">
        <f t="shared" si="28"/>
        <v>438651.76783717319</v>
      </c>
      <c r="BE29" s="60">
        <f t="shared" si="7"/>
        <v>10000</v>
      </c>
      <c r="BF29" s="61">
        <f t="shared" si="19"/>
        <v>0</v>
      </c>
      <c r="BG29" s="60">
        <f t="shared" si="20"/>
        <v>31405.623748602127</v>
      </c>
      <c r="BH29" s="60">
        <f t="shared" si="21"/>
        <v>480057.3915857753</v>
      </c>
      <c r="BI29" s="50">
        <f t="shared" si="22"/>
        <v>0</v>
      </c>
    </row>
    <row r="30" spans="2:61" ht="9" customHeight="1" x14ac:dyDescent="0.2">
      <c r="E30" s="11"/>
      <c r="Q30" s="59">
        <f t="shared" si="0"/>
        <v>1</v>
      </c>
      <c r="R30" s="59"/>
      <c r="S30" s="59"/>
      <c r="T30" s="59"/>
      <c r="U30" s="59"/>
      <c r="V30" s="59"/>
      <c r="W30" s="59"/>
      <c r="X30" s="50">
        <f t="shared" si="23"/>
        <v>58</v>
      </c>
      <c r="Y30" s="60">
        <f t="shared" si="24"/>
        <v>480057.3915857753</v>
      </c>
      <c r="Z30" s="60">
        <f t="shared" si="1"/>
        <v>10000</v>
      </c>
      <c r="AA30" s="61">
        <f t="shared" si="8"/>
        <v>0</v>
      </c>
      <c r="AB30" s="60">
        <f t="shared" si="9"/>
        <v>34304.017411004272</v>
      </c>
      <c r="AC30" s="60">
        <f t="shared" si="10"/>
        <v>524361.40899677959</v>
      </c>
      <c r="AD30" s="61">
        <f t="shared" si="11"/>
        <v>0</v>
      </c>
      <c r="AE30" s="50">
        <f t="shared" si="12"/>
        <v>0</v>
      </c>
      <c r="AH30" s="59">
        <f t="shared" si="2"/>
        <v>1</v>
      </c>
      <c r="AI30" s="50">
        <f t="shared" si="29"/>
        <v>58</v>
      </c>
      <c r="AJ30" s="60">
        <f t="shared" si="25"/>
        <v>374444.76543690468</v>
      </c>
      <c r="AK30" s="60">
        <f t="shared" si="3"/>
        <v>7800</v>
      </c>
      <c r="AL30" s="61">
        <f t="shared" si="13"/>
        <v>0</v>
      </c>
      <c r="AM30" s="60">
        <f t="shared" si="14"/>
        <v>26757.13358058333</v>
      </c>
      <c r="AN30" s="60">
        <f t="shared" si="26"/>
        <v>409001.899017488</v>
      </c>
      <c r="AO30" s="50">
        <f t="shared" si="15"/>
        <v>0</v>
      </c>
      <c r="AR30" s="59">
        <f t="shared" si="4"/>
        <v>1</v>
      </c>
      <c r="AS30" s="50">
        <f t="shared" si="30"/>
        <v>58</v>
      </c>
      <c r="AT30" s="60">
        <f t="shared" si="27"/>
        <v>464985.15469680174</v>
      </c>
      <c r="AU30" s="60">
        <f t="shared" si="5"/>
        <v>0</v>
      </c>
      <c r="AV30" s="61">
        <f>IF(AX29=0,0,IF(AS30=$E$31,-#REF!*AR30,IF(AS30&lt;$E$31,0,IF(-AV29*AR30&gt;AX29,-AX29,AV29*AR30))))</f>
        <v>0</v>
      </c>
      <c r="AW30" s="60">
        <f t="shared" si="16"/>
        <v>32548.960828776126</v>
      </c>
      <c r="AX30" s="60">
        <f t="shared" si="17"/>
        <v>497534.11552557786</v>
      </c>
      <c r="AY30" s="50">
        <f t="shared" si="18"/>
        <v>0</v>
      </c>
      <c r="BB30" s="59">
        <f t="shared" si="6"/>
        <v>1</v>
      </c>
      <c r="BC30" s="50">
        <f t="shared" si="31"/>
        <v>58</v>
      </c>
      <c r="BD30" s="60">
        <f t="shared" si="28"/>
        <v>480057.3915857753</v>
      </c>
      <c r="BE30" s="60">
        <f t="shared" si="7"/>
        <v>10000</v>
      </c>
      <c r="BF30" s="61">
        <f t="shared" si="19"/>
        <v>0</v>
      </c>
      <c r="BG30" s="60">
        <f t="shared" si="20"/>
        <v>34304.017411004272</v>
      </c>
      <c r="BH30" s="60">
        <f t="shared" si="21"/>
        <v>524361.40899677959</v>
      </c>
      <c r="BI30" s="50">
        <f t="shared" si="22"/>
        <v>0</v>
      </c>
    </row>
    <row r="31" spans="2:61" ht="23" customHeight="1" x14ac:dyDescent="0.25">
      <c r="B31" s="21" t="s">
        <v>6</v>
      </c>
      <c r="C31" s="1"/>
      <c r="D31" s="1"/>
      <c r="E31" s="35">
        <v>65</v>
      </c>
      <c r="H31" s="77" t="s">
        <v>71</v>
      </c>
      <c r="I31" s="77"/>
      <c r="J31" s="77"/>
      <c r="K31" s="77"/>
      <c r="L31" s="77"/>
      <c r="M31" s="77"/>
      <c r="N31" s="77"/>
      <c r="Q31" s="59">
        <f t="shared" si="0"/>
        <v>1</v>
      </c>
      <c r="R31" s="59"/>
      <c r="S31" s="59"/>
      <c r="T31" s="59"/>
      <c r="U31" s="59"/>
      <c r="V31" s="59"/>
      <c r="W31" s="59"/>
      <c r="X31" s="50">
        <f t="shared" si="23"/>
        <v>59</v>
      </c>
      <c r="Y31" s="60">
        <f t="shared" si="24"/>
        <v>524361.40899677959</v>
      </c>
      <c r="Z31" s="60">
        <f t="shared" si="1"/>
        <v>10000</v>
      </c>
      <c r="AA31" s="61">
        <f t="shared" si="8"/>
        <v>0</v>
      </c>
      <c r="AB31" s="60">
        <f t="shared" si="9"/>
        <v>37405.298629774574</v>
      </c>
      <c r="AC31" s="60">
        <f t="shared" si="10"/>
        <v>571766.70762655418</v>
      </c>
      <c r="AD31" s="61">
        <f t="shared" si="11"/>
        <v>0</v>
      </c>
      <c r="AE31" s="50">
        <f t="shared" si="12"/>
        <v>0</v>
      </c>
      <c r="AF31" s="60"/>
      <c r="AH31" s="59">
        <f t="shared" si="2"/>
        <v>1</v>
      </c>
      <c r="AI31" s="50">
        <f t="shared" si="29"/>
        <v>59</v>
      </c>
      <c r="AJ31" s="60">
        <f t="shared" si="25"/>
        <v>409001.899017488</v>
      </c>
      <c r="AK31" s="60">
        <f t="shared" si="3"/>
        <v>7800</v>
      </c>
      <c r="AL31" s="61">
        <f t="shared" si="13"/>
        <v>0</v>
      </c>
      <c r="AM31" s="60">
        <f t="shared" si="14"/>
        <v>29176.132931224161</v>
      </c>
      <c r="AN31" s="60">
        <f t="shared" si="26"/>
        <v>445978.03194871219</v>
      </c>
      <c r="AO31" s="50">
        <f t="shared" si="15"/>
        <v>0</v>
      </c>
      <c r="AR31" s="59">
        <f t="shared" si="4"/>
        <v>1</v>
      </c>
      <c r="AS31" s="50">
        <f t="shared" si="30"/>
        <v>59</v>
      </c>
      <c r="AT31" s="60">
        <f t="shared" si="27"/>
        <v>497534.11552557786</v>
      </c>
      <c r="AU31" s="60">
        <f t="shared" si="5"/>
        <v>0</v>
      </c>
      <c r="AV31" s="61">
        <f>IF(AX30=0,0,IF(AS31=$E$31,-#REF!*AR31,IF(AS31&lt;$E$31,0,IF(-AV30*AR31&gt;AX30,-AX30,AV30*AR31))))</f>
        <v>0</v>
      </c>
      <c r="AW31" s="60">
        <f t="shared" si="16"/>
        <v>34827.388086790452</v>
      </c>
      <c r="AX31" s="60">
        <f t="shared" si="17"/>
        <v>532361.50361236837</v>
      </c>
      <c r="AY31" s="50">
        <f t="shared" si="18"/>
        <v>0</v>
      </c>
      <c r="BB31" s="59">
        <f t="shared" si="6"/>
        <v>1</v>
      </c>
      <c r="BC31" s="50">
        <f t="shared" si="31"/>
        <v>59</v>
      </c>
      <c r="BD31" s="60">
        <f t="shared" si="28"/>
        <v>524361.40899677959</v>
      </c>
      <c r="BE31" s="60">
        <f t="shared" si="7"/>
        <v>10000</v>
      </c>
      <c r="BF31" s="61">
        <f t="shared" si="19"/>
        <v>0</v>
      </c>
      <c r="BG31" s="60">
        <f t="shared" si="20"/>
        <v>37405.298629774574</v>
      </c>
      <c r="BH31" s="60">
        <f t="shared" si="21"/>
        <v>571766.70762655418</v>
      </c>
      <c r="BI31" s="50">
        <f t="shared" si="22"/>
        <v>0</v>
      </c>
    </row>
    <row r="32" spans="2:61" ht="19" x14ac:dyDescent="0.25">
      <c r="B32" s="21" t="s">
        <v>3</v>
      </c>
      <c r="C32" s="1"/>
      <c r="D32" s="1"/>
      <c r="E32" s="35" t="s">
        <v>25</v>
      </c>
      <c r="H32" s="5" t="s">
        <v>4</v>
      </c>
      <c r="I32" s="31" t="s">
        <v>7</v>
      </c>
      <c r="J32" s="31" t="s">
        <v>8</v>
      </c>
      <c r="K32" s="31" t="s">
        <v>72</v>
      </c>
      <c r="L32" s="31" t="s">
        <v>5</v>
      </c>
      <c r="M32" s="31" t="s">
        <v>73</v>
      </c>
      <c r="N32" s="31" t="s">
        <v>5</v>
      </c>
      <c r="Q32" s="59">
        <f t="shared" si="0"/>
        <v>1</v>
      </c>
      <c r="R32" s="59"/>
      <c r="S32" s="59"/>
      <c r="T32" s="59"/>
      <c r="U32" s="59"/>
      <c r="V32" s="59"/>
      <c r="W32" s="59"/>
      <c r="X32" s="50">
        <f t="shared" si="23"/>
        <v>60</v>
      </c>
      <c r="Y32" s="60">
        <f t="shared" si="24"/>
        <v>571766.70762655418</v>
      </c>
      <c r="Z32" s="60">
        <f t="shared" si="1"/>
        <v>10000</v>
      </c>
      <c r="AA32" s="61">
        <f t="shared" si="8"/>
        <v>0</v>
      </c>
      <c r="AB32" s="60">
        <f t="shared" si="9"/>
        <v>40723.669533858796</v>
      </c>
      <c r="AC32" s="60">
        <f t="shared" si="10"/>
        <v>622490.37716041296</v>
      </c>
      <c r="AD32" s="61">
        <f t="shared" si="11"/>
        <v>0</v>
      </c>
      <c r="AE32" s="50">
        <f t="shared" si="12"/>
        <v>0</v>
      </c>
      <c r="AH32" s="59">
        <f t="shared" si="2"/>
        <v>1</v>
      </c>
      <c r="AI32" s="50">
        <f t="shared" si="29"/>
        <v>60</v>
      </c>
      <c r="AJ32" s="60">
        <f t="shared" si="25"/>
        <v>445978.03194871219</v>
      </c>
      <c r="AK32" s="60">
        <f t="shared" si="3"/>
        <v>7800</v>
      </c>
      <c r="AL32" s="61">
        <f t="shared" si="13"/>
        <v>0</v>
      </c>
      <c r="AM32" s="60">
        <f t="shared" si="14"/>
        <v>31764.462236409858</v>
      </c>
      <c r="AN32" s="60">
        <f t="shared" si="26"/>
        <v>485542.49418512202</v>
      </c>
      <c r="AO32" s="50">
        <f t="shared" si="15"/>
        <v>0</v>
      </c>
      <c r="AR32" s="59">
        <f t="shared" si="4"/>
        <v>1</v>
      </c>
      <c r="AS32" s="50">
        <f t="shared" si="30"/>
        <v>60</v>
      </c>
      <c r="AT32" s="60">
        <f t="shared" si="27"/>
        <v>532361.50361236837</v>
      </c>
      <c r="AU32" s="60">
        <f t="shared" si="5"/>
        <v>0</v>
      </c>
      <c r="AV32" s="61">
        <f>IF(AX31=0,0,IF(AS32=$E$31,-#REF!*AR32,IF(AS32&lt;$E$31,0,IF(-AV31*AR32&gt;AX31,-AX31,AV31*AR32))))</f>
        <v>0</v>
      </c>
      <c r="AW32" s="60">
        <f t="shared" si="16"/>
        <v>37265.305252865786</v>
      </c>
      <c r="AX32" s="60">
        <f t="shared" si="17"/>
        <v>569626.80886523414</v>
      </c>
      <c r="AY32" s="50">
        <f t="shared" si="18"/>
        <v>0</v>
      </c>
      <c r="BB32" s="59">
        <f t="shared" si="6"/>
        <v>1</v>
      </c>
      <c r="BC32" s="50">
        <f t="shared" si="31"/>
        <v>60</v>
      </c>
      <c r="BD32" s="60">
        <f t="shared" si="28"/>
        <v>571766.70762655418</v>
      </c>
      <c r="BE32" s="60">
        <f t="shared" si="7"/>
        <v>10000</v>
      </c>
      <c r="BF32" s="61">
        <f t="shared" si="19"/>
        <v>0</v>
      </c>
      <c r="BG32" s="60">
        <f t="shared" si="20"/>
        <v>40723.669533858796</v>
      </c>
      <c r="BH32" s="60">
        <f t="shared" si="21"/>
        <v>622490.37716041296</v>
      </c>
      <c r="BI32" s="50">
        <f t="shared" si="22"/>
        <v>0</v>
      </c>
    </row>
    <row r="33" spans="2:61" ht="19" x14ac:dyDescent="0.25">
      <c r="B33" s="21" t="s">
        <v>78</v>
      </c>
      <c r="C33" s="1"/>
      <c r="D33" s="1"/>
      <c r="E33" s="40">
        <v>70000</v>
      </c>
      <c r="H33" s="27">
        <f t="shared" ref="H33:N39" si="32">IF($E$13="Single",B71,IF($E$13="Married",B84,IF($E$13="Married filing separately",B97,B110)))</f>
        <v>0.1</v>
      </c>
      <c r="I33" s="28">
        <f t="shared" si="32"/>
        <v>0</v>
      </c>
      <c r="J33" s="28">
        <f t="shared" si="32"/>
        <v>20550</v>
      </c>
      <c r="K33" s="28">
        <f t="shared" si="32"/>
        <v>20550</v>
      </c>
      <c r="L33" s="28">
        <f t="shared" si="32"/>
        <v>2055</v>
      </c>
      <c r="M33" s="28">
        <f t="shared" si="32"/>
        <v>20550</v>
      </c>
      <c r="N33" s="28">
        <f t="shared" si="32"/>
        <v>2055</v>
      </c>
      <c r="Q33" s="59">
        <f t="shared" si="0"/>
        <v>1</v>
      </c>
      <c r="R33" s="59"/>
      <c r="S33" s="59"/>
      <c r="T33" s="59"/>
      <c r="U33" s="59"/>
      <c r="V33" s="59"/>
      <c r="W33" s="59"/>
      <c r="X33" s="50">
        <f t="shared" si="23"/>
        <v>61</v>
      </c>
      <c r="Y33" s="60">
        <f t="shared" si="24"/>
        <v>622490.37716041296</v>
      </c>
      <c r="Z33" s="60">
        <f t="shared" si="1"/>
        <v>10000</v>
      </c>
      <c r="AA33" s="61">
        <f t="shared" si="8"/>
        <v>0</v>
      </c>
      <c r="AB33" s="60">
        <f t="shared" si="9"/>
        <v>44274.326401228915</v>
      </c>
      <c r="AC33" s="60">
        <f t="shared" si="10"/>
        <v>676764.70356164186</v>
      </c>
      <c r="AD33" s="61">
        <f t="shared" si="11"/>
        <v>0</v>
      </c>
      <c r="AE33" s="50">
        <f t="shared" si="12"/>
        <v>0</v>
      </c>
      <c r="AH33" s="59">
        <f t="shared" si="2"/>
        <v>1</v>
      </c>
      <c r="AI33" s="50">
        <f t="shared" si="29"/>
        <v>61</v>
      </c>
      <c r="AJ33" s="60">
        <f t="shared" si="25"/>
        <v>485542.49418512202</v>
      </c>
      <c r="AK33" s="60">
        <f t="shared" si="3"/>
        <v>7800</v>
      </c>
      <c r="AL33" s="61">
        <f t="shared" si="13"/>
        <v>0</v>
      </c>
      <c r="AM33" s="60">
        <f t="shared" si="14"/>
        <v>34533.974592958548</v>
      </c>
      <c r="AN33" s="60">
        <f t="shared" si="26"/>
        <v>527876.46877808054</v>
      </c>
      <c r="AO33" s="50">
        <f t="shared" si="15"/>
        <v>0</v>
      </c>
      <c r="AR33" s="59">
        <f t="shared" si="4"/>
        <v>1</v>
      </c>
      <c r="AS33" s="50">
        <f t="shared" si="30"/>
        <v>61</v>
      </c>
      <c r="AT33" s="60">
        <f t="shared" si="27"/>
        <v>569626.80886523414</v>
      </c>
      <c r="AU33" s="60">
        <f t="shared" si="5"/>
        <v>0</v>
      </c>
      <c r="AV33" s="61">
        <f>IF(AX32=0,0,IF(AS33=$E$31,-#REF!*AR33,IF(AS33&lt;$E$31,0,IF(-AV32*AR33&gt;AX32,-AX32,AV32*AR33))))</f>
        <v>0</v>
      </c>
      <c r="AW33" s="60">
        <f t="shared" si="16"/>
        <v>39873.876620566392</v>
      </c>
      <c r="AX33" s="60">
        <f t="shared" si="17"/>
        <v>609500.6854858005</v>
      </c>
      <c r="AY33" s="50">
        <f t="shared" si="18"/>
        <v>0</v>
      </c>
      <c r="BB33" s="59">
        <f t="shared" si="6"/>
        <v>1</v>
      </c>
      <c r="BC33" s="50">
        <f t="shared" si="31"/>
        <v>61</v>
      </c>
      <c r="BD33" s="60">
        <f t="shared" si="28"/>
        <v>622490.37716041296</v>
      </c>
      <c r="BE33" s="60">
        <f t="shared" si="7"/>
        <v>10000</v>
      </c>
      <c r="BF33" s="61">
        <f t="shared" si="19"/>
        <v>0</v>
      </c>
      <c r="BG33" s="60">
        <f t="shared" si="20"/>
        <v>44274.326401228915</v>
      </c>
      <c r="BH33" s="60">
        <f t="shared" si="21"/>
        <v>676764.70356164186</v>
      </c>
      <c r="BI33" s="50">
        <f t="shared" si="22"/>
        <v>0</v>
      </c>
    </row>
    <row r="34" spans="2:61" x14ac:dyDescent="0.2">
      <c r="B34" s="26" t="s">
        <v>5</v>
      </c>
      <c r="E34" s="39">
        <f>F183</f>
        <v>4665</v>
      </c>
      <c r="H34" s="27">
        <f t="shared" si="32"/>
        <v>0.12</v>
      </c>
      <c r="I34" s="28">
        <f t="shared" si="32"/>
        <v>20551</v>
      </c>
      <c r="J34" s="28">
        <f t="shared" si="32"/>
        <v>83550</v>
      </c>
      <c r="K34" s="28">
        <f t="shared" si="32"/>
        <v>63000</v>
      </c>
      <c r="L34" s="28">
        <f t="shared" si="32"/>
        <v>7560</v>
      </c>
      <c r="M34" s="28">
        <f t="shared" si="32"/>
        <v>63000</v>
      </c>
      <c r="N34" s="28">
        <f t="shared" si="32"/>
        <v>7560</v>
      </c>
      <c r="Q34" s="59">
        <f t="shared" si="0"/>
        <v>1</v>
      </c>
      <c r="R34" s="59"/>
      <c r="S34" s="59"/>
      <c r="T34" s="59"/>
      <c r="U34" s="59"/>
      <c r="V34" s="59"/>
      <c r="W34" s="59"/>
      <c r="X34" s="50">
        <f t="shared" si="23"/>
        <v>62</v>
      </c>
      <c r="Y34" s="60">
        <f t="shared" si="24"/>
        <v>676764.70356164186</v>
      </c>
      <c r="Z34" s="60">
        <f t="shared" si="1"/>
        <v>10000</v>
      </c>
      <c r="AA34" s="61">
        <f t="shared" si="8"/>
        <v>0</v>
      </c>
      <c r="AB34" s="60">
        <f t="shared" si="9"/>
        <v>48073.529249314932</v>
      </c>
      <c r="AC34" s="60">
        <f t="shared" si="10"/>
        <v>734838.23281095678</v>
      </c>
      <c r="AD34" s="61">
        <f t="shared" si="11"/>
        <v>0</v>
      </c>
      <c r="AE34" s="50">
        <f t="shared" si="12"/>
        <v>0</v>
      </c>
      <c r="AH34" s="59">
        <f t="shared" si="2"/>
        <v>1</v>
      </c>
      <c r="AI34" s="50">
        <f t="shared" si="29"/>
        <v>62</v>
      </c>
      <c r="AJ34" s="60">
        <f t="shared" si="25"/>
        <v>527876.46877808054</v>
      </c>
      <c r="AK34" s="60">
        <f t="shared" si="3"/>
        <v>7800</v>
      </c>
      <c r="AL34" s="61">
        <f t="shared" si="13"/>
        <v>0</v>
      </c>
      <c r="AM34" s="60">
        <f t="shared" si="14"/>
        <v>37497.352814465645</v>
      </c>
      <c r="AN34" s="60">
        <f t="shared" si="26"/>
        <v>573173.82159254618</v>
      </c>
      <c r="AO34" s="50">
        <f t="shared" si="15"/>
        <v>0</v>
      </c>
      <c r="AR34" s="59">
        <f t="shared" si="4"/>
        <v>1</v>
      </c>
      <c r="AS34" s="50">
        <f t="shared" si="30"/>
        <v>62</v>
      </c>
      <c r="AT34" s="60">
        <f t="shared" si="27"/>
        <v>609500.6854858005</v>
      </c>
      <c r="AU34" s="60">
        <f t="shared" si="5"/>
        <v>0</v>
      </c>
      <c r="AV34" s="61">
        <f>IF(AX33=0,0,IF(AS34=$E$31,-#REF!*AR34,IF(AS34&lt;$E$31,0,IF(-AV33*AR34&gt;AX33,-AX33,AV33*AR34))))</f>
        <v>0</v>
      </c>
      <c r="AW34" s="60">
        <f t="shared" si="16"/>
        <v>42665.047984006036</v>
      </c>
      <c r="AX34" s="60">
        <f t="shared" si="17"/>
        <v>652165.7334698065</v>
      </c>
      <c r="AY34" s="50">
        <f t="shared" si="18"/>
        <v>0</v>
      </c>
      <c r="BB34" s="59">
        <f t="shared" si="6"/>
        <v>1</v>
      </c>
      <c r="BC34" s="50">
        <f t="shared" si="31"/>
        <v>62</v>
      </c>
      <c r="BD34" s="60">
        <f t="shared" si="28"/>
        <v>676764.70356164186</v>
      </c>
      <c r="BE34" s="60">
        <f t="shared" si="7"/>
        <v>10000</v>
      </c>
      <c r="BF34" s="61">
        <f t="shared" si="19"/>
        <v>0</v>
      </c>
      <c r="BG34" s="60">
        <f t="shared" si="20"/>
        <v>48073.529249314932</v>
      </c>
      <c r="BH34" s="60">
        <f t="shared" si="21"/>
        <v>734838.23281095678</v>
      </c>
      <c r="BI34" s="50">
        <f t="shared" si="22"/>
        <v>0</v>
      </c>
    </row>
    <row r="35" spans="2:61" x14ac:dyDescent="0.2">
      <c r="B35" s="23" t="s">
        <v>63</v>
      </c>
      <c r="C35" s="25"/>
      <c r="D35" s="25"/>
      <c r="E35" s="37">
        <f>E33-E34</f>
        <v>65335</v>
      </c>
      <c r="H35" s="27">
        <f t="shared" si="32"/>
        <v>0.22</v>
      </c>
      <c r="I35" s="28">
        <f t="shared" si="32"/>
        <v>83551</v>
      </c>
      <c r="J35" s="28">
        <f t="shared" si="32"/>
        <v>178150</v>
      </c>
      <c r="K35" s="28">
        <f t="shared" si="32"/>
        <v>38750</v>
      </c>
      <c r="L35" s="28">
        <f t="shared" si="32"/>
        <v>8525</v>
      </c>
      <c r="M35" s="28">
        <f t="shared" si="32"/>
        <v>28750</v>
      </c>
      <c r="N35" s="28">
        <f t="shared" si="32"/>
        <v>6325</v>
      </c>
      <c r="Q35" s="59">
        <f t="shared" si="0"/>
        <v>1</v>
      </c>
      <c r="R35" s="59"/>
      <c r="S35" s="59"/>
      <c r="T35" s="59"/>
      <c r="U35" s="59"/>
      <c r="V35" s="59"/>
      <c r="W35" s="59"/>
      <c r="X35" s="50">
        <f t="shared" si="23"/>
        <v>63</v>
      </c>
      <c r="Y35" s="60">
        <f t="shared" si="24"/>
        <v>734838.23281095678</v>
      </c>
      <c r="Z35" s="60">
        <f t="shared" si="1"/>
        <v>10000</v>
      </c>
      <c r="AA35" s="61">
        <f t="shared" si="8"/>
        <v>0</v>
      </c>
      <c r="AB35" s="60">
        <f t="shared" si="9"/>
        <v>52138.676296766978</v>
      </c>
      <c r="AC35" s="60">
        <f t="shared" si="10"/>
        <v>796976.90910772374</v>
      </c>
      <c r="AD35" s="61">
        <f t="shared" si="11"/>
        <v>0</v>
      </c>
      <c r="AE35" s="50">
        <f t="shared" si="12"/>
        <v>0</v>
      </c>
      <c r="AH35" s="59">
        <f t="shared" si="2"/>
        <v>1</v>
      </c>
      <c r="AI35" s="50">
        <f t="shared" si="29"/>
        <v>63</v>
      </c>
      <c r="AJ35" s="60">
        <f t="shared" si="25"/>
        <v>573173.82159254618</v>
      </c>
      <c r="AK35" s="60">
        <f t="shared" si="3"/>
        <v>7800</v>
      </c>
      <c r="AL35" s="61">
        <f t="shared" si="13"/>
        <v>0</v>
      </c>
      <c r="AM35" s="60">
        <f t="shared" si="14"/>
        <v>40668.167511478234</v>
      </c>
      <c r="AN35" s="60">
        <f t="shared" si="26"/>
        <v>621641.98910402437</v>
      </c>
      <c r="AO35" s="50">
        <f t="shared" si="15"/>
        <v>0</v>
      </c>
      <c r="AR35" s="59">
        <f t="shared" si="4"/>
        <v>1</v>
      </c>
      <c r="AS35" s="50">
        <f t="shared" si="30"/>
        <v>63</v>
      </c>
      <c r="AT35" s="60">
        <f t="shared" si="27"/>
        <v>652165.7334698065</v>
      </c>
      <c r="AU35" s="60">
        <f t="shared" si="5"/>
        <v>0</v>
      </c>
      <c r="AV35" s="61">
        <f>IF(AX34=0,0,IF(AS35=$E$31,-#REF!*AR35,IF(AS35&lt;$E$31,0,IF(-AV34*AR35&gt;AX34,-AX34,AV34*AR35))))</f>
        <v>0</v>
      </c>
      <c r="AW35" s="60">
        <f t="shared" si="16"/>
        <v>45651.601342886461</v>
      </c>
      <c r="AX35" s="60">
        <f t="shared" si="17"/>
        <v>697817.33481269295</v>
      </c>
      <c r="AY35" s="50">
        <f t="shared" si="18"/>
        <v>0</v>
      </c>
      <c r="BB35" s="59">
        <f t="shared" si="6"/>
        <v>1</v>
      </c>
      <c r="BC35" s="50">
        <f t="shared" si="31"/>
        <v>63</v>
      </c>
      <c r="BD35" s="60">
        <f t="shared" si="28"/>
        <v>734838.23281095678</v>
      </c>
      <c r="BE35" s="60">
        <f t="shared" si="7"/>
        <v>10000</v>
      </c>
      <c r="BF35" s="61">
        <f t="shared" si="19"/>
        <v>0</v>
      </c>
      <c r="BG35" s="60">
        <f t="shared" si="20"/>
        <v>52138.676296766978</v>
      </c>
      <c r="BH35" s="60">
        <f t="shared" si="21"/>
        <v>796976.90910772374</v>
      </c>
      <c r="BI35" s="50">
        <f t="shared" si="22"/>
        <v>0</v>
      </c>
    </row>
    <row r="36" spans="2:61" x14ac:dyDescent="0.2">
      <c r="E36" s="29"/>
      <c r="H36" s="27">
        <f t="shared" si="32"/>
        <v>0.24</v>
      </c>
      <c r="I36" s="28">
        <f t="shared" si="32"/>
        <v>178151</v>
      </c>
      <c r="J36" s="28">
        <f t="shared" si="32"/>
        <v>340100</v>
      </c>
      <c r="K36" s="28">
        <f t="shared" si="32"/>
        <v>0</v>
      </c>
      <c r="L36" s="28">
        <f t="shared" si="32"/>
        <v>0</v>
      </c>
      <c r="M36" s="28">
        <f t="shared" si="32"/>
        <v>0</v>
      </c>
      <c r="N36" s="28">
        <f t="shared" si="32"/>
        <v>0</v>
      </c>
      <c r="Q36" s="59">
        <f t="shared" si="0"/>
        <v>1</v>
      </c>
      <c r="R36" s="59"/>
      <c r="S36" s="59"/>
      <c r="T36" s="59"/>
      <c r="U36" s="59"/>
      <c r="V36" s="59"/>
      <c r="W36" s="59"/>
      <c r="X36" s="50">
        <f t="shared" si="23"/>
        <v>64</v>
      </c>
      <c r="Y36" s="60">
        <f t="shared" si="24"/>
        <v>796976.90910772374</v>
      </c>
      <c r="Z36" s="60">
        <f t="shared" si="1"/>
        <v>10000</v>
      </c>
      <c r="AA36" s="61">
        <f t="shared" si="8"/>
        <v>0</v>
      </c>
      <c r="AB36" s="60">
        <f t="shared" si="9"/>
        <v>56488.383637540668</v>
      </c>
      <c r="AC36" s="60">
        <f t="shared" si="10"/>
        <v>863465.29274526436</v>
      </c>
      <c r="AD36" s="61">
        <f t="shared" si="11"/>
        <v>0</v>
      </c>
      <c r="AE36" s="50">
        <f t="shared" si="12"/>
        <v>0</v>
      </c>
      <c r="AH36" s="59">
        <f t="shared" si="2"/>
        <v>1</v>
      </c>
      <c r="AI36" s="50">
        <f t="shared" si="29"/>
        <v>64</v>
      </c>
      <c r="AJ36" s="60">
        <f t="shared" si="25"/>
        <v>621641.98910402437</v>
      </c>
      <c r="AK36" s="60">
        <f t="shared" si="3"/>
        <v>7800</v>
      </c>
      <c r="AL36" s="61">
        <f t="shared" si="13"/>
        <v>0</v>
      </c>
      <c r="AM36" s="60">
        <f t="shared" si="14"/>
        <v>44060.939237281709</v>
      </c>
      <c r="AN36" s="60">
        <f t="shared" si="26"/>
        <v>673502.92834130605</v>
      </c>
      <c r="AO36" s="50">
        <f t="shared" si="15"/>
        <v>0</v>
      </c>
      <c r="AR36" s="59">
        <f t="shared" si="4"/>
        <v>1</v>
      </c>
      <c r="AS36" s="50">
        <f t="shared" si="30"/>
        <v>64</v>
      </c>
      <c r="AT36" s="60">
        <f t="shared" si="27"/>
        <v>697817.33481269295</v>
      </c>
      <c r="AU36" s="60">
        <f t="shared" si="5"/>
        <v>0</v>
      </c>
      <c r="AV36" s="61">
        <f>IF(AX35=0,0,IF(AS36=$E$31,-#REF!*AR36,IF(AS36&lt;$E$31,0,IF(-AV35*AR36&gt;AX35,-AX35,AV35*AR36))))</f>
        <v>0</v>
      </c>
      <c r="AW36" s="60">
        <f t="shared" si="16"/>
        <v>48847.213436888509</v>
      </c>
      <c r="AX36" s="60">
        <f t="shared" si="17"/>
        <v>746664.54824958148</v>
      </c>
      <c r="AY36" s="50">
        <f t="shared" si="18"/>
        <v>0</v>
      </c>
      <c r="BB36" s="59">
        <f t="shared" si="6"/>
        <v>1</v>
      </c>
      <c r="BC36" s="50">
        <f t="shared" si="31"/>
        <v>64</v>
      </c>
      <c r="BD36" s="60">
        <f t="shared" si="28"/>
        <v>796976.90910772374</v>
      </c>
      <c r="BE36" s="60">
        <f t="shared" si="7"/>
        <v>10000</v>
      </c>
      <c r="BF36" s="61">
        <f t="shared" si="19"/>
        <v>0</v>
      </c>
      <c r="BG36" s="60">
        <f t="shared" si="20"/>
        <v>56488.383637540668</v>
      </c>
      <c r="BH36" s="60">
        <f t="shared" si="21"/>
        <v>863465.29274526436</v>
      </c>
      <c r="BI36" s="50">
        <f t="shared" si="22"/>
        <v>0</v>
      </c>
    </row>
    <row r="37" spans="2:61" x14ac:dyDescent="0.2">
      <c r="B37" s="23" t="s">
        <v>18</v>
      </c>
      <c r="C37" s="25"/>
      <c r="D37" s="25"/>
      <c r="E37" s="37">
        <f>VLOOKUP($E$32,Data!C3:D6,2,FALSE)</f>
        <v>27700</v>
      </c>
      <c r="H37" s="27">
        <f t="shared" si="32"/>
        <v>0.32</v>
      </c>
      <c r="I37" s="28">
        <f t="shared" si="32"/>
        <v>340101</v>
      </c>
      <c r="J37" s="28">
        <f t="shared" si="32"/>
        <v>431900</v>
      </c>
      <c r="K37" s="28">
        <f t="shared" si="32"/>
        <v>0</v>
      </c>
      <c r="L37" s="28">
        <f t="shared" si="32"/>
        <v>0</v>
      </c>
      <c r="M37" s="28">
        <f t="shared" si="32"/>
        <v>0</v>
      </c>
      <c r="N37" s="28">
        <f t="shared" si="32"/>
        <v>0</v>
      </c>
      <c r="Q37" s="59">
        <f t="shared" si="0"/>
        <v>1</v>
      </c>
      <c r="R37" s="59"/>
      <c r="S37" s="59"/>
      <c r="T37" s="59"/>
      <c r="U37" s="59"/>
      <c r="V37" s="59"/>
      <c r="W37" s="59"/>
      <c r="X37" s="50">
        <f t="shared" si="23"/>
        <v>65</v>
      </c>
      <c r="Y37" s="60">
        <f t="shared" si="24"/>
        <v>863465.29274526436</v>
      </c>
      <c r="Z37" s="60">
        <f t="shared" si="1"/>
        <v>0</v>
      </c>
      <c r="AA37" s="61">
        <f t="shared" si="8"/>
        <v>-70000</v>
      </c>
      <c r="AB37" s="60">
        <f t="shared" si="9"/>
        <v>55542.57049216851</v>
      </c>
      <c r="AC37" s="60">
        <f t="shared" si="10"/>
        <v>849007.8632374329</v>
      </c>
      <c r="AD37" s="61">
        <f t="shared" si="11"/>
        <v>-65335</v>
      </c>
      <c r="AE37" s="50">
        <f t="shared" si="12"/>
        <v>0</v>
      </c>
      <c r="AH37" s="59">
        <f t="shared" si="2"/>
        <v>1</v>
      </c>
      <c r="AI37" s="50">
        <f t="shared" si="29"/>
        <v>65</v>
      </c>
      <c r="AJ37" s="60">
        <f t="shared" si="25"/>
        <v>673502.92834130605</v>
      </c>
      <c r="AK37" s="60">
        <f t="shared" si="3"/>
        <v>0</v>
      </c>
      <c r="AL37" s="61">
        <f t="shared" si="13"/>
        <v>-65335</v>
      </c>
      <c r="AM37" s="60">
        <f t="shared" si="14"/>
        <v>42571.754983891427</v>
      </c>
      <c r="AN37" s="60">
        <f t="shared" si="26"/>
        <v>650739.68332519743</v>
      </c>
      <c r="AO37" s="50">
        <f t="shared" si="15"/>
        <v>0</v>
      </c>
      <c r="AR37" s="59">
        <f t="shared" si="4"/>
        <v>1</v>
      </c>
      <c r="AS37" s="50">
        <f t="shared" si="30"/>
        <v>65</v>
      </c>
      <c r="AT37" s="60">
        <f t="shared" si="27"/>
        <v>746664.54824958148</v>
      </c>
      <c r="AU37" s="60">
        <f t="shared" si="5"/>
        <v>0</v>
      </c>
      <c r="AV37" s="61" t="e">
        <f>IF(AX36=0,0,IF(AS37=$E$31,-#REF!*AR37,IF(AS37&lt;$E$31,0,IF(-AV36*AR37&gt;AX36,-AX36,AV36*AR37))))</f>
        <v>#REF!</v>
      </c>
      <c r="AW37" s="60" t="e">
        <f t="shared" si="16"/>
        <v>#REF!</v>
      </c>
      <c r="AX37" s="60" t="e">
        <f t="shared" si="17"/>
        <v>#REF!</v>
      </c>
      <c r="AY37" s="50" t="e">
        <f t="shared" si="18"/>
        <v>#REF!</v>
      </c>
      <c r="BB37" s="59">
        <f t="shared" si="6"/>
        <v>1</v>
      </c>
      <c r="BC37" s="50">
        <f t="shared" si="31"/>
        <v>65</v>
      </c>
      <c r="BD37" s="60">
        <f t="shared" si="28"/>
        <v>863465.29274526436</v>
      </c>
      <c r="BE37" s="60">
        <f t="shared" si="7"/>
        <v>0</v>
      </c>
      <c r="BF37" s="61">
        <f t="shared" si="19"/>
        <v>-65335</v>
      </c>
      <c r="BG37" s="60">
        <f t="shared" si="20"/>
        <v>55869.120492168513</v>
      </c>
      <c r="BH37" s="60">
        <f t="shared" si="21"/>
        <v>853999.41323743283</v>
      </c>
      <c r="BI37" s="50">
        <f t="shared" si="22"/>
        <v>0</v>
      </c>
    </row>
    <row r="38" spans="2:61" x14ac:dyDescent="0.2">
      <c r="B38" s="23" t="s">
        <v>31</v>
      </c>
      <c r="C38" s="25"/>
      <c r="D38" s="25"/>
      <c r="E38" s="37">
        <f>E33-E37</f>
        <v>42300</v>
      </c>
      <c r="H38" s="27">
        <f t="shared" si="32"/>
        <v>0.35</v>
      </c>
      <c r="I38" s="28">
        <f t="shared" si="32"/>
        <v>431901</v>
      </c>
      <c r="J38" s="28">
        <f t="shared" si="32"/>
        <v>647850</v>
      </c>
      <c r="K38" s="28">
        <f t="shared" si="32"/>
        <v>0</v>
      </c>
      <c r="L38" s="28">
        <f t="shared" si="32"/>
        <v>0</v>
      </c>
      <c r="M38" s="28">
        <f t="shared" si="32"/>
        <v>0</v>
      </c>
      <c r="N38" s="28">
        <f t="shared" si="32"/>
        <v>0</v>
      </c>
      <c r="Q38" s="59">
        <f t="shared" si="0"/>
        <v>1</v>
      </c>
      <c r="R38" s="59"/>
      <c r="S38" s="59"/>
      <c r="T38" s="59"/>
      <c r="U38" s="59"/>
      <c r="V38" s="59"/>
      <c r="W38" s="59"/>
      <c r="X38" s="50">
        <f t="shared" si="23"/>
        <v>66</v>
      </c>
      <c r="Y38" s="60">
        <f t="shared" si="24"/>
        <v>849007.8632374329</v>
      </c>
      <c r="Z38" s="60">
        <f t="shared" si="1"/>
        <v>0</v>
      </c>
      <c r="AA38" s="61">
        <f t="shared" si="8"/>
        <v>-70000</v>
      </c>
      <c r="AB38" s="60">
        <f t="shared" si="9"/>
        <v>54530.550426620306</v>
      </c>
      <c r="AC38" s="60">
        <f t="shared" si="10"/>
        <v>833538.41366405319</v>
      </c>
      <c r="AD38" s="61">
        <f t="shared" si="11"/>
        <v>-65335</v>
      </c>
      <c r="AE38" s="50">
        <f t="shared" si="12"/>
        <v>0</v>
      </c>
      <c r="AH38" s="59">
        <f t="shared" si="2"/>
        <v>1</v>
      </c>
      <c r="AI38" s="50">
        <f t="shared" si="29"/>
        <v>66</v>
      </c>
      <c r="AJ38" s="60">
        <f t="shared" si="25"/>
        <v>650739.68332519743</v>
      </c>
      <c r="AK38" s="60">
        <f t="shared" si="3"/>
        <v>0</v>
      </c>
      <c r="AL38" s="61">
        <f t="shared" si="13"/>
        <v>-65335</v>
      </c>
      <c r="AM38" s="60">
        <f t="shared" si="14"/>
        <v>40978.327832763825</v>
      </c>
      <c r="AN38" s="60">
        <f t="shared" si="26"/>
        <v>626383.01115796121</v>
      </c>
      <c r="AO38" s="50">
        <f t="shared" si="15"/>
        <v>0</v>
      </c>
      <c r="AR38" s="59">
        <f t="shared" si="4"/>
        <v>1</v>
      </c>
      <c r="AS38" s="50">
        <f t="shared" si="30"/>
        <v>66</v>
      </c>
      <c r="AT38" s="60" t="e">
        <f t="shared" si="27"/>
        <v>#REF!</v>
      </c>
      <c r="AU38" s="60">
        <f t="shared" si="5"/>
        <v>0</v>
      </c>
      <c r="AV38" s="61" t="e">
        <f>IF(AX37=0,0,IF(AS38=$E$31,-#REF!*AR38,IF(AS38&lt;$E$31,0,IF(-AV37*AR38&gt;AX37,-AX37,AV37*AR38))))</f>
        <v>#REF!</v>
      </c>
      <c r="AW38" s="60" t="e">
        <f t="shared" si="16"/>
        <v>#REF!</v>
      </c>
      <c r="AX38" s="60" t="e">
        <f t="shared" si="17"/>
        <v>#REF!</v>
      </c>
      <c r="AY38" s="50" t="e">
        <f t="shared" si="18"/>
        <v>#REF!</v>
      </c>
      <c r="BB38" s="59">
        <f t="shared" si="6"/>
        <v>1</v>
      </c>
      <c r="BC38" s="50">
        <f t="shared" si="31"/>
        <v>66</v>
      </c>
      <c r="BD38" s="60">
        <f t="shared" si="28"/>
        <v>853999.41323743283</v>
      </c>
      <c r="BE38" s="60">
        <f t="shared" si="7"/>
        <v>0</v>
      </c>
      <c r="BF38" s="61">
        <f t="shared" si="19"/>
        <v>-65335</v>
      </c>
      <c r="BG38" s="60">
        <f t="shared" si="20"/>
        <v>55206.508926620307</v>
      </c>
      <c r="BH38" s="60">
        <f t="shared" si="21"/>
        <v>843870.92216405319</v>
      </c>
      <c r="BI38" s="50">
        <f t="shared" si="22"/>
        <v>0</v>
      </c>
    </row>
    <row r="39" spans="2:61" x14ac:dyDescent="0.2">
      <c r="H39" s="27">
        <f t="shared" si="32"/>
        <v>0.37</v>
      </c>
      <c r="I39" s="28">
        <f t="shared" si="32"/>
        <v>647851</v>
      </c>
      <c r="J39" s="28">
        <f t="shared" si="32"/>
        <v>0</v>
      </c>
      <c r="K39" s="28">
        <f t="shared" si="32"/>
        <v>0</v>
      </c>
      <c r="L39" s="34">
        <f t="shared" si="32"/>
        <v>0</v>
      </c>
      <c r="M39" s="28">
        <f t="shared" si="32"/>
        <v>0</v>
      </c>
      <c r="N39" s="34">
        <f t="shared" si="32"/>
        <v>0</v>
      </c>
      <c r="Q39" s="59">
        <f t="shared" si="0"/>
        <v>1</v>
      </c>
      <c r="R39" s="59"/>
      <c r="S39" s="59"/>
      <c r="T39" s="59"/>
      <c r="U39" s="59"/>
      <c r="V39" s="59"/>
      <c r="W39" s="59"/>
      <c r="X39" s="50">
        <f t="shared" si="23"/>
        <v>67</v>
      </c>
      <c r="Y39" s="60">
        <f t="shared" si="24"/>
        <v>833538.41366405319</v>
      </c>
      <c r="Z39" s="60">
        <f t="shared" si="1"/>
        <v>0</v>
      </c>
      <c r="AA39" s="61">
        <f t="shared" si="8"/>
        <v>-70000</v>
      </c>
      <c r="AB39" s="60">
        <f t="shared" si="9"/>
        <v>53447.688956483726</v>
      </c>
      <c r="AC39" s="60">
        <f t="shared" si="10"/>
        <v>816986.10262053693</v>
      </c>
      <c r="AD39" s="61">
        <f t="shared" si="11"/>
        <v>-65335</v>
      </c>
      <c r="AE39" s="50">
        <f t="shared" si="12"/>
        <v>0</v>
      </c>
      <c r="AH39" s="59">
        <f t="shared" si="2"/>
        <v>1</v>
      </c>
      <c r="AI39" s="50">
        <f t="shared" si="29"/>
        <v>67</v>
      </c>
      <c r="AJ39" s="60">
        <f t="shared" si="25"/>
        <v>626383.01115796121</v>
      </c>
      <c r="AK39" s="60">
        <f t="shared" si="3"/>
        <v>0</v>
      </c>
      <c r="AL39" s="61">
        <f t="shared" si="13"/>
        <v>-65335</v>
      </c>
      <c r="AM39" s="60">
        <f t="shared" si="14"/>
        <v>39273.360781057287</v>
      </c>
      <c r="AN39" s="60">
        <f t="shared" si="26"/>
        <v>600321.37193901849</v>
      </c>
      <c r="AO39" s="50">
        <f t="shared" si="15"/>
        <v>0</v>
      </c>
      <c r="AR39" s="59">
        <f t="shared" si="4"/>
        <v>1</v>
      </c>
      <c r="AS39" s="50">
        <f t="shared" si="30"/>
        <v>67</v>
      </c>
      <c r="AT39" s="60" t="e">
        <f t="shared" si="27"/>
        <v>#REF!</v>
      </c>
      <c r="AU39" s="60">
        <f t="shared" si="5"/>
        <v>0</v>
      </c>
      <c r="AV39" s="61" t="e">
        <f>IF(AX38=0,0,IF(AS39=$E$31,-#REF!*AR39,IF(AS39&lt;$E$31,0,IF(-AV38*AR39&gt;AX38,-AX38,AV38*AR39))))</f>
        <v>#REF!</v>
      </c>
      <c r="AW39" s="60" t="e">
        <f t="shared" si="16"/>
        <v>#REF!</v>
      </c>
      <c r="AX39" s="60" t="e">
        <f t="shared" si="17"/>
        <v>#REF!</v>
      </c>
      <c r="AY39" s="50" t="e">
        <f t="shared" si="18"/>
        <v>#REF!</v>
      </c>
      <c r="BB39" s="59">
        <f t="shared" si="6"/>
        <v>1</v>
      </c>
      <c r="BC39" s="50">
        <f t="shared" si="31"/>
        <v>67</v>
      </c>
      <c r="BD39" s="60">
        <f t="shared" si="28"/>
        <v>843870.92216405319</v>
      </c>
      <c r="BE39" s="60">
        <f t="shared" si="7"/>
        <v>0</v>
      </c>
      <c r="BF39" s="61">
        <f t="shared" si="19"/>
        <v>-65335</v>
      </c>
      <c r="BG39" s="60">
        <f t="shared" si="20"/>
        <v>54497.514551483728</v>
      </c>
      <c r="BH39" s="60">
        <f t="shared" si="21"/>
        <v>833033.43671553687</v>
      </c>
      <c r="BI39" s="50">
        <f t="shared" si="22"/>
        <v>0</v>
      </c>
    </row>
    <row r="40" spans="2:61" ht="19" x14ac:dyDescent="0.25">
      <c r="B40" s="21" t="s">
        <v>55</v>
      </c>
      <c r="C40" s="1"/>
      <c r="D40" s="1"/>
      <c r="E40" s="20">
        <f>IF(E34&lt;0,0,E34/E33)</f>
        <v>6.6642857142857143E-2</v>
      </c>
      <c r="H40" s="3"/>
      <c r="I40" s="29"/>
      <c r="J40" s="29"/>
      <c r="K40" s="30" t="s">
        <v>69</v>
      </c>
      <c r="L40" s="30">
        <f>SUM(L33:L39)</f>
        <v>18140</v>
      </c>
      <c r="M40" s="30" t="s">
        <v>70</v>
      </c>
      <c r="N40" s="30">
        <f>SUM(N33:N39)</f>
        <v>15940</v>
      </c>
      <c r="Q40" s="59">
        <f t="shared" si="0"/>
        <v>1</v>
      </c>
      <c r="R40" s="59"/>
      <c r="S40" s="59"/>
      <c r="T40" s="59"/>
      <c r="U40" s="59"/>
      <c r="V40" s="59"/>
      <c r="W40" s="59"/>
      <c r="X40" s="50">
        <f t="shared" si="23"/>
        <v>68</v>
      </c>
      <c r="Y40" s="60">
        <f t="shared" si="24"/>
        <v>816986.10262053693</v>
      </c>
      <c r="Z40" s="60">
        <f t="shared" si="1"/>
        <v>0</v>
      </c>
      <c r="AA40" s="61">
        <f t="shared" si="8"/>
        <v>-70000</v>
      </c>
      <c r="AB40" s="60">
        <f t="shared" si="9"/>
        <v>52289.027183437589</v>
      </c>
      <c r="AC40" s="60">
        <f t="shared" si="10"/>
        <v>799275.12980397453</v>
      </c>
      <c r="AD40" s="61">
        <f t="shared" si="11"/>
        <v>-65335</v>
      </c>
      <c r="AE40" s="50">
        <f t="shared" si="12"/>
        <v>0</v>
      </c>
      <c r="AH40" s="59">
        <f t="shared" si="2"/>
        <v>1</v>
      </c>
      <c r="AI40" s="50">
        <f t="shared" si="29"/>
        <v>68</v>
      </c>
      <c r="AJ40" s="60">
        <f t="shared" si="25"/>
        <v>600321.37193901849</v>
      </c>
      <c r="AK40" s="60">
        <f t="shared" si="3"/>
        <v>0</v>
      </c>
      <c r="AL40" s="61">
        <f t="shared" si="13"/>
        <v>-65335</v>
      </c>
      <c r="AM40" s="60">
        <f t="shared" si="14"/>
        <v>37449.046035731299</v>
      </c>
      <c r="AN40" s="60">
        <f t="shared" si="26"/>
        <v>572435.41797474981</v>
      </c>
      <c r="AO40" s="50">
        <f t="shared" si="15"/>
        <v>0</v>
      </c>
      <c r="AR40" s="59">
        <f t="shared" si="4"/>
        <v>1</v>
      </c>
      <c r="AS40" s="50">
        <f t="shared" si="30"/>
        <v>68</v>
      </c>
      <c r="AT40" s="60" t="e">
        <f t="shared" si="27"/>
        <v>#REF!</v>
      </c>
      <c r="AU40" s="60">
        <f t="shared" si="5"/>
        <v>0</v>
      </c>
      <c r="AV40" s="61" t="e">
        <f>IF(AX39=0,0,IF(AS40=$E$31,-#REF!*AR40,IF(AS40&lt;$E$31,0,IF(-AV39*AR40&gt;AX39,-AX39,AV39*AR40))))</f>
        <v>#REF!</v>
      </c>
      <c r="AW40" s="60" t="e">
        <f t="shared" si="16"/>
        <v>#REF!</v>
      </c>
      <c r="AX40" s="60" t="e">
        <f t="shared" si="17"/>
        <v>#REF!</v>
      </c>
      <c r="AY40" s="50" t="e">
        <f t="shared" si="18"/>
        <v>#REF!</v>
      </c>
      <c r="BB40" s="59">
        <f t="shared" si="6"/>
        <v>1</v>
      </c>
      <c r="BC40" s="50">
        <f t="shared" si="31"/>
        <v>68</v>
      </c>
      <c r="BD40" s="60">
        <f t="shared" si="28"/>
        <v>833033.43671553687</v>
      </c>
      <c r="BE40" s="60">
        <f t="shared" si="7"/>
        <v>0</v>
      </c>
      <c r="BF40" s="61">
        <f t="shared" si="19"/>
        <v>-65335</v>
      </c>
      <c r="BG40" s="60">
        <f t="shared" si="20"/>
        <v>53738.890570087584</v>
      </c>
      <c r="BH40" s="60">
        <f t="shared" si="21"/>
        <v>821437.32728562446</v>
      </c>
      <c r="BI40" s="50">
        <f t="shared" si="22"/>
        <v>0</v>
      </c>
    </row>
    <row r="41" spans="2:61" x14ac:dyDescent="0.2">
      <c r="F41" s="66"/>
      <c r="Q41" s="59">
        <f t="shared" ref="Q41:Q72" si="33">IF(X41&gt;$E$31,(1+$E$54),1)</f>
        <v>1</v>
      </c>
      <c r="R41" s="59"/>
      <c r="S41" s="59"/>
      <c r="T41" s="59"/>
      <c r="U41" s="59"/>
      <c r="V41" s="59"/>
      <c r="W41" s="59"/>
      <c r="X41" s="50">
        <f t="shared" si="23"/>
        <v>69</v>
      </c>
      <c r="Y41" s="60">
        <f t="shared" si="24"/>
        <v>799275.12980397453</v>
      </c>
      <c r="Z41" s="60">
        <f t="shared" si="1"/>
        <v>0</v>
      </c>
      <c r="AA41" s="61">
        <f t="shared" si="8"/>
        <v>-70000</v>
      </c>
      <c r="AB41" s="60">
        <f t="shared" si="9"/>
        <v>51049.259086278224</v>
      </c>
      <c r="AC41" s="60">
        <f t="shared" si="10"/>
        <v>780324.3888902528</v>
      </c>
      <c r="AD41" s="61">
        <f t="shared" si="11"/>
        <v>-65335</v>
      </c>
      <c r="AE41" s="50">
        <f t="shared" si="12"/>
        <v>0</v>
      </c>
      <c r="AH41" s="59">
        <f t="shared" ref="AH41:AH72" si="34">IF(AI41&gt;$E$31,(1+$E$54),1)</f>
        <v>1</v>
      </c>
      <c r="AI41" s="50">
        <f t="shared" si="29"/>
        <v>69</v>
      </c>
      <c r="AJ41" s="60">
        <f t="shared" si="25"/>
        <v>572435.41797474981</v>
      </c>
      <c r="AK41" s="60">
        <f t="shared" si="3"/>
        <v>0</v>
      </c>
      <c r="AL41" s="61">
        <f t="shared" si="13"/>
        <v>-65335</v>
      </c>
      <c r="AM41" s="60">
        <f t="shared" si="14"/>
        <v>35497.029258232491</v>
      </c>
      <c r="AN41" s="60">
        <f t="shared" si="26"/>
        <v>542597.44723298226</v>
      </c>
      <c r="AO41" s="50">
        <f t="shared" si="15"/>
        <v>0</v>
      </c>
      <c r="AR41" s="59">
        <f t="shared" ref="AR41:AR72" si="35">IF(AS41&gt;$E$31,(1+$E$54),1)</f>
        <v>1</v>
      </c>
      <c r="AS41" s="50">
        <f t="shared" si="30"/>
        <v>69</v>
      </c>
      <c r="AT41" s="60" t="e">
        <f t="shared" si="27"/>
        <v>#REF!</v>
      </c>
      <c r="AU41" s="60">
        <f t="shared" ref="AU41:AU72" si="36">IF(AS41&gt;=$E$31,0,$H$19)</f>
        <v>0</v>
      </c>
      <c r="AV41" s="61" t="e">
        <f>IF(AX40=0,0,IF(AS41=$E$31,-#REF!*AR41,IF(AS41&lt;$E$31,0,IF(-AV40*AR41&gt;AX40,-AX40,AV40*AR41))))</f>
        <v>#REF!</v>
      </c>
      <c r="AW41" s="60" t="e">
        <f t="shared" si="16"/>
        <v>#REF!</v>
      </c>
      <c r="AX41" s="60" t="e">
        <f t="shared" si="17"/>
        <v>#REF!</v>
      </c>
      <c r="AY41" s="50" t="e">
        <f t="shared" si="18"/>
        <v>#REF!</v>
      </c>
      <c r="BB41" s="59">
        <f t="shared" ref="BB41:BB72" si="37">IF(BC41&gt;$E$31,(1+$E$54),1)</f>
        <v>1</v>
      </c>
      <c r="BC41" s="50">
        <f t="shared" si="31"/>
        <v>69</v>
      </c>
      <c r="BD41" s="60">
        <f t="shared" si="28"/>
        <v>821437.32728562446</v>
      </c>
      <c r="BE41" s="60">
        <f t="shared" ref="BE41:BE72" si="38">IF(BC41&gt;=$E$31,0,$H$20)</f>
        <v>0</v>
      </c>
      <c r="BF41" s="61">
        <f t="shared" si="19"/>
        <v>-65335</v>
      </c>
      <c r="BG41" s="60">
        <f t="shared" si="20"/>
        <v>52927.16290999372</v>
      </c>
      <c r="BH41" s="60">
        <f t="shared" si="21"/>
        <v>809029.49019561813</v>
      </c>
      <c r="BI41" s="50">
        <f t="shared" si="22"/>
        <v>0</v>
      </c>
    </row>
    <row r="42" spans="2:61" x14ac:dyDescent="0.2">
      <c r="Q42" s="59">
        <f t="shared" si="33"/>
        <v>1</v>
      </c>
      <c r="R42" s="59"/>
      <c r="S42" s="59"/>
      <c r="T42" s="59"/>
      <c r="U42" s="59"/>
      <c r="V42" s="59"/>
      <c r="W42" s="59"/>
      <c r="X42" s="50">
        <f t="shared" si="23"/>
        <v>70</v>
      </c>
      <c r="Y42" s="60">
        <f t="shared" si="24"/>
        <v>780324.3888902528</v>
      </c>
      <c r="Z42" s="60">
        <f t="shared" si="1"/>
        <v>0</v>
      </c>
      <c r="AA42" s="61">
        <f t="shared" ref="AA42:AA73" si="39">IF(AC41=0,0,IF(X42=$E$31,-$E$33*Q42,IF(X42&lt;$E$31,0,IF(-AA41*Q42&gt;AC41,-AC41,AA41*Q42))))</f>
        <v>-70000</v>
      </c>
      <c r="AB42" s="60">
        <f t="shared" ref="AB42:AB73" si="40">IF(AC41=0,0,SUM(Y42:AA42)*$E$22)</f>
        <v>49722.707222317702</v>
      </c>
      <c r="AC42" s="60">
        <f t="shared" si="10"/>
        <v>760047.09611257049</v>
      </c>
      <c r="AD42" s="61">
        <f t="shared" ref="AD42:AD73" si="41">IF($AC41=0,0,IF($X42=$E$31,-$E$35*$Q42,IF($X42&lt;$E$31,0,IF(-$AA41*$Q42&gt;$AC41,-$AC41*AD41/AA41,$AD41*$Q42))))</f>
        <v>-65335</v>
      </c>
      <c r="AE42" s="50">
        <f t="shared" si="12"/>
        <v>0</v>
      </c>
      <c r="AH42" s="59">
        <f t="shared" si="34"/>
        <v>1</v>
      </c>
      <c r="AI42" s="50">
        <f t="shared" si="29"/>
        <v>70</v>
      </c>
      <c r="AJ42" s="60">
        <f t="shared" si="25"/>
        <v>542597.44723298226</v>
      </c>
      <c r="AK42" s="60">
        <f t="shared" si="3"/>
        <v>0</v>
      </c>
      <c r="AL42" s="61">
        <f t="shared" ref="AL42:AL73" si="42">IF(AN41=0,0,IF(AI42=$E$31,-$E$35*AH42,IF(AI42&lt;$E$31,0,IF(-AL41*AH42&gt;AN41,-AN41,AL41*AH42))))</f>
        <v>-65335</v>
      </c>
      <c r="AM42" s="60">
        <f t="shared" ref="AM42:AM73" si="43">IF(AN41=0,0,SUM(AJ42:AL42)*$E$22)</f>
        <v>33408.371306308763</v>
      </c>
      <c r="AN42" s="60">
        <f t="shared" si="26"/>
        <v>510670.81853929104</v>
      </c>
      <c r="AO42" s="50">
        <f t="shared" si="15"/>
        <v>0</v>
      </c>
      <c r="AR42" s="59">
        <f t="shared" si="35"/>
        <v>1</v>
      </c>
      <c r="AS42" s="50">
        <f t="shared" si="30"/>
        <v>70</v>
      </c>
      <c r="AT42" s="60" t="e">
        <f t="shared" si="27"/>
        <v>#REF!</v>
      </c>
      <c r="AU42" s="60">
        <f t="shared" si="36"/>
        <v>0</v>
      </c>
      <c r="AV42" s="61" t="e">
        <f>IF(AX41=0,0,IF(AS42=$E$31,-#REF!*AR42,IF(AS42&lt;$E$31,0,IF(-AV41*AR42&gt;AX41,-AX41,AV41*AR42))))</f>
        <v>#REF!</v>
      </c>
      <c r="AW42" s="60" t="e">
        <f t="shared" ref="AW42:AW73" si="44">IF(AX41=0,0,SUM(AT42:AV42)*$E$22)</f>
        <v>#REF!</v>
      </c>
      <c r="AX42" s="60" t="e">
        <f t="shared" si="17"/>
        <v>#REF!</v>
      </c>
      <c r="AY42" s="50" t="e">
        <f t="shared" si="18"/>
        <v>#REF!</v>
      </c>
      <c r="BB42" s="59">
        <f t="shared" si="37"/>
        <v>1</v>
      </c>
      <c r="BC42" s="50">
        <f t="shared" si="31"/>
        <v>70</v>
      </c>
      <c r="BD42" s="60">
        <f t="shared" si="28"/>
        <v>809029.49019561813</v>
      </c>
      <c r="BE42" s="60">
        <f t="shared" si="38"/>
        <v>0</v>
      </c>
      <c r="BF42" s="61">
        <f t="shared" ref="BF42:BF73" si="45">IF(BH41=0,0,IF(BC42=$E$31,-$E$35*BB42,IF(BC42&lt;$E$31,0,IF(-BF41*BB42&gt;BH41,-BH41,BF41*BB42))))</f>
        <v>-65335</v>
      </c>
      <c r="BG42" s="60">
        <f t="shared" ref="BG42:BG73" si="46">IF(BH41=0,0,SUM(BD42:BF42)*$E$22)</f>
        <v>52058.614313693273</v>
      </c>
      <c r="BH42" s="60">
        <f t="shared" si="21"/>
        <v>795753.10450931138</v>
      </c>
      <c r="BI42" s="50">
        <f t="shared" si="22"/>
        <v>0</v>
      </c>
    </row>
    <row r="43" spans="2:61" x14ac:dyDescent="0.2">
      <c r="Q43" s="59">
        <f t="shared" si="33"/>
        <v>1</v>
      </c>
      <c r="R43" s="59"/>
      <c r="S43" s="59"/>
      <c r="T43" s="59"/>
      <c r="U43" s="59"/>
      <c r="V43" s="59"/>
      <c r="W43" s="59"/>
      <c r="X43" s="50">
        <f t="shared" si="23"/>
        <v>71</v>
      </c>
      <c r="Y43" s="60">
        <f t="shared" si="24"/>
        <v>760047.09611257049</v>
      </c>
      <c r="Z43" s="60">
        <f t="shared" si="1"/>
        <v>0</v>
      </c>
      <c r="AA43" s="61">
        <f t="shared" si="39"/>
        <v>-70000</v>
      </c>
      <c r="AB43" s="60">
        <f t="shared" si="40"/>
        <v>48303.296727879941</v>
      </c>
      <c r="AC43" s="60">
        <f t="shared" si="10"/>
        <v>738350.3928404504</v>
      </c>
      <c r="AD43" s="61">
        <f t="shared" si="41"/>
        <v>-65335</v>
      </c>
      <c r="AE43" s="50">
        <f t="shared" si="12"/>
        <v>0</v>
      </c>
      <c r="AH43" s="59">
        <f t="shared" si="34"/>
        <v>1</v>
      </c>
      <c r="AI43" s="50">
        <f t="shared" si="29"/>
        <v>71</v>
      </c>
      <c r="AJ43" s="60">
        <f t="shared" si="25"/>
        <v>510670.81853929104</v>
      </c>
      <c r="AK43" s="60">
        <f t="shared" si="3"/>
        <v>0</v>
      </c>
      <c r="AL43" s="61">
        <f t="shared" si="42"/>
        <v>-65335</v>
      </c>
      <c r="AM43" s="60">
        <f t="shared" si="43"/>
        <v>31173.507297750377</v>
      </c>
      <c r="AN43" s="60">
        <f t="shared" si="26"/>
        <v>476509.32583704143</v>
      </c>
      <c r="AO43" s="50">
        <f t="shared" si="15"/>
        <v>0</v>
      </c>
      <c r="AR43" s="59">
        <f t="shared" si="35"/>
        <v>1</v>
      </c>
      <c r="AS43" s="50">
        <f t="shared" si="30"/>
        <v>71</v>
      </c>
      <c r="AT43" s="60" t="e">
        <f t="shared" si="27"/>
        <v>#REF!</v>
      </c>
      <c r="AU43" s="60">
        <f t="shared" si="36"/>
        <v>0</v>
      </c>
      <c r="AV43" s="61" t="e">
        <f>IF(AX42=0,0,IF(AS43=$E$31,-#REF!*AR43,IF(AS43&lt;$E$31,0,IF(-AV42*AR43&gt;AX42,-AX42,AV42*AR43))))</f>
        <v>#REF!</v>
      </c>
      <c r="AW43" s="60" t="e">
        <f t="shared" si="44"/>
        <v>#REF!</v>
      </c>
      <c r="AX43" s="60" t="e">
        <f t="shared" si="17"/>
        <v>#REF!</v>
      </c>
      <c r="AY43" s="50" t="e">
        <f t="shared" si="18"/>
        <v>#REF!</v>
      </c>
      <c r="BB43" s="59">
        <f t="shared" si="37"/>
        <v>1</v>
      </c>
      <c r="BC43" s="50">
        <f t="shared" si="31"/>
        <v>71</v>
      </c>
      <c r="BD43" s="60">
        <f t="shared" si="28"/>
        <v>795753.10450931138</v>
      </c>
      <c r="BE43" s="60">
        <f t="shared" si="38"/>
        <v>0</v>
      </c>
      <c r="BF43" s="61">
        <f t="shared" si="45"/>
        <v>-65335</v>
      </c>
      <c r="BG43" s="60">
        <f t="shared" si="46"/>
        <v>51129.267315651799</v>
      </c>
      <c r="BH43" s="60">
        <f t="shared" si="21"/>
        <v>781547.37182496313</v>
      </c>
      <c r="BI43" s="50">
        <f t="shared" si="22"/>
        <v>0</v>
      </c>
    </row>
    <row r="44" spans="2:61" x14ac:dyDescent="0.2">
      <c r="B44" s="62"/>
      <c r="C44" s="62"/>
      <c r="D44" s="62"/>
      <c r="E44" s="63"/>
      <c r="F44" s="62"/>
      <c r="G44" s="62"/>
      <c r="H44" s="62"/>
      <c r="I44" s="62"/>
      <c r="J44" s="62"/>
      <c r="K44" s="62"/>
      <c r="Q44" s="59">
        <f t="shared" si="33"/>
        <v>1</v>
      </c>
      <c r="R44" s="59"/>
      <c r="S44" s="59"/>
      <c r="T44" s="59"/>
      <c r="U44" s="59"/>
      <c r="V44" s="59"/>
      <c r="W44" s="59"/>
      <c r="X44" s="50">
        <f t="shared" si="23"/>
        <v>72</v>
      </c>
      <c r="Y44" s="60">
        <f t="shared" si="24"/>
        <v>738350.3928404504</v>
      </c>
      <c r="Z44" s="60">
        <f t="shared" si="1"/>
        <v>0</v>
      </c>
      <c r="AA44" s="61">
        <f t="shared" si="39"/>
        <v>-70000</v>
      </c>
      <c r="AB44" s="60">
        <f t="shared" si="40"/>
        <v>46784.527498831529</v>
      </c>
      <c r="AC44" s="60">
        <f t="shared" si="10"/>
        <v>715134.9203392819</v>
      </c>
      <c r="AD44" s="61">
        <f t="shared" si="41"/>
        <v>-65335</v>
      </c>
      <c r="AE44" s="50">
        <f t="shared" si="12"/>
        <v>0</v>
      </c>
      <c r="AH44" s="59">
        <f t="shared" si="34"/>
        <v>1</v>
      </c>
      <c r="AI44" s="50">
        <f t="shared" si="29"/>
        <v>72</v>
      </c>
      <c r="AJ44" s="60">
        <f t="shared" si="25"/>
        <v>476509.32583704143</v>
      </c>
      <c r="AK44" s="60">
        <f t="shared" si="3"/>
        <v>0</v>
      </c>
      <c r="AL44" s="61">
        <f t="shared" si="42"/>
        <v>-65335</v>
      </c>
      <c r="AM44" s="60">
        <f t="shared" si="43"/>
        <v>28782.202808592901</v>
      </c>
      <c r="AN44" s="60">
        <f t="shared" si="26"/>
        <v>439956.5286456343</v>
      </c>
      <c r="AO44" s="50">
        <f t="shared" si="15"/>
        <v>0</v>
      </c>
      <c r="AR44" s="59">
        <f t="shared" si="35"/>
        <v>1</v>
      </c>
      <c r="AS44" s="50">
        <f t="shared" si="30"/>
        <v>72</v>
      </c>
      <c r="AT44" s="60" t="e">
        <f t="shared" si="27"/>
        <v>#REF!</v>
      </c>
      <c r="AU44" s="60">
        <f t="shared" si="36"/>
        <v>0</v>
      </c>
      <c r="AV44" s="61" t="e">
        <f>IF(AX43=0,0,IF(AS44=$E$31,-#REF!*AR44,IF(AS44&lt;$E$31,0,IF(-AV43*AR44&gt;AX43,-AX43,AV43*AR44))))</f>
        <v>#REF!</v>
      </c>
      <c r="AW44" s="60" t="e">
        <f t="shared" si="44"/>
        <v>#REF!</v>
      </c>
      <c r="AX44" s="60" t="e">
        <f t="shared" si="17"/>
        <v>#REF!</v>
      </c>
      <c r="AY44" s="50" t="e">
        <f t="shared" si="18"/>
        <v>#REF!</v>
      </c>
      <c r="BB44" s="59">
        <f t="shared" si="37"/>
        <v>1</v>
      </c>
      <c r="BC44" s="50">
        <f t="shared" si="31"/>
        <v>72</v>
      </c>
      <c r="BD44" s="60">
        <f t="shared" si="28"/>
        <v>781547.37182496313</v>
      </c>
      <c r="BE44" s="60">
        <f t="shared" si="38"/>
        <v>0</v>
      </c>
      <c r="BF44" s="61">
        <f t="shared" si="45"/>
        <v>-65335</v>
      </c>
      <c r="BG44" s="60">
        <f t="shared" si="46"/>
        <v>50134.866027747426</v>
      </c>
      <c r="BH44" s="60">
        <f t="shared" si="21"/>
        <v>766347.23785271053</v>
      </c>
      <c r="BI44" s="50">
        <f t="shared" si="22"/>
        <v>0</v>
      </c>
    </row>
    <row r="45" spans="2:61" x14ac:dyDescent="0.2">
      <c r="B45" s="13"/>
      <c r="C45" s="13"/>
      <c r="D45" s="13"/>
      <c r="E45" s="17"/>
      <c r="F45" s="13"/>
      <c r="G45" s="13"/>
      <c r="H45" s="13"/>
      <c r="I45" s="13"/>
      <c r="J45" s="13"/>
      <c r="K45" s="13"/>
      <c r="P45" s="51"/>
      <c r="Q45" s="59">
        <f t="shared" si="33"/>
        <v>1</v>
      </c>
      <c r="R45" s="59"/>
      <c r="S45" s="59"/>
      <c r="T45" s="59"/>
      <c r="U45" s="59"/>
      <c r="V45" s="59"/>
      <c r="W45" s="59"/>
      <c r="X45" s="50">
        <f t="shared" si="23"/>
        <v>73</v>
      </c>
      <c r="Y45" s="60">
        <f t="shared" si="24"/>
        <v>715134.9203392819</v>
      </c>
      <c r="Z45" s="60">
        <f t="shared" si="1"/>
        <v>0</v>
      </c>
      <c r="AA45" s="61">
        <f t="shared" si="39"/>
        <v>-70000</v>
      </c>
      <c r="AB45" s="60">
        <f t="shared" si="40"/>
        <v>45159.444423749737</v>
      </c>
      <c r="AC45" s="60">
        <f t="shared" si="10"/>
        <v>690294.3647630316</v>
      </c>
      <c r="AD45" s="61">
        <f t="shared" si="41"/>
        <v>-65335</v>
      </c>
      <c r="AE45" s="50">
        <f t="shared" si="12"/>
        <v>0</v>
      </c>
      <c r="AH45" s="59">
        <f t="shared" si="34"/>
        <v>1</v>
      </c>
      <c r="AI45" s="50">
        <f t="shared" si="29"/>
        <v>73</v>
      </c>
      <c r="AJ45" s="60">
        <f t="shared" si="25"/>
        <v>439956.5286456343</v>
      </c>
      <c r="AK45" s="60">
        <f t="shared" si="3"/>
        <v>0</v>
      </c>
      <c r="AL45" s="61">
        <f t="shared" si="42"/>
        <v>-65335</v>
      </c>
      <c r="AM45" s="60">
        <f t="shared" si="43"/>
        <v>26223.507005194402</v>
      </c>
      <c r="AN45" s="60">
        <f t="shared" si="26"/>
        <v>400845.03565082868</v>
      </c>
      <c r="AO45" s="50">
        <f t="shared" si="15"/>
        <v>0</v>
      </c>
      <c r="AR45" s="59">
        <f t="shared" si="35"/>
        <v>1</v>
      </c>
      <c r="AS45" s="50">
        <f t="shared" si="30"/>
        <v>73</v>
      </c>
      <c r="AT45" s="60" t="e">
        <f t="shared" si="27"/>
        <v>#REF!</v>
      </c>
      <c r="AU45" s="60">
        <f t="shared" si="36"/>
        <v>0</v>
      </c>
      <c r="AV45" s="61" t="e">
        <f>IF(AX44=0,0,IF(AS45=$E$31,-#REF!*AR45,IF(AS45&lt;$E$31,0,IF(-AV44*AR45&gt;AX44,-AX44,AV44*AR45))))</f>
        <v>#REF!</v>
      </c>
      <c r="AW45" s="60" t="e">
        <f t="shared" si="44"/>
        <v>#REF!</v>
      </c>
      <c r="AX45" s="60" t="e">
        <f t="shared" si="17"/>
        <v>#REF!</v>
      </c>
      <c r="AY45" s="50" t="e">
        <f t="shared" si="18"/>
        <v>#REF!</v>
      </c>
      <c r="BB45" s="59">
        <f t="shared" si="37"/>
        <v>1</v>
      </c>
      <c r="BC45" s="50">
        <f t="shared" si="31"/>
        <v>73</v>
      </c>
      <c r="BD45" s="60">
        <f t="shared" si="28"/>
        <v>766347.23785271053</v>
      </c>
      <c r="BE45" s="60">
        <f t="shared" si="38"/>
        <v>0</v>
      </c>
      <c r="BF45" s="61">
        <f t="shared" si="45"/>
        <v>-65335</v>
      </c>
      <c r="BG45" s="60">
        <f t="shared" si="46"/>
        <v>49070.85664968974</v>
      </c>
      <c r="BH45" s="60">
        <f t="shared" si="21"/>
        <v>750083.09450240026</v>
      </c>
      <c r="BI45" s="50">
        <f t="shared" si="22"/>
        <v>0</v>
      </c>
    </row>
    <row r="46" spans="2:61" x14ac:dyDescent="0.2">
      <c r="B46" s="13"/>
      <c r="C46" s="13"/>
      <c r="D46" s="13"/>
      <c r="E46" s="17"/>
      <c r="F46" s="13"/>
      <c r="G46" s="13"/>
      <c r="H46" s="13"/>
      <c r="I46" s="13"/>
      <c r="J46" s="13"/>
      <c r="K46" s="13"/>
      <c r="O46" s="9"/>
      <c r="P46" s="52"/>
      <c r="Q46" s="59">
        <f t="shared" si="33"/>
        <v>1</v>
      </c>
      <c r="R46" s="59"/>
      <c r="S46" s="59"/>
      <c r="T46" s="59"/>
      <c r="U46" s="59"/>
      <c r="V46" s="59"/>
      <c r="W46" s="59"/>
      <c r="X46" s="50">
        <f t="shared" si="23"/>
        <v>74</v>
      </c>
      <c r="Y46" s="60">
        <f t="shared" si="24"/>
        <v>690294.3647630316</v>
      </c>
      <c r="Z46" s="60">
        <f t="shared" si="1"/>
        <v>0</v>
      </c>
      <c r="AA46" s="61">
        <f t="shared" si="39"/>
        <v>-70000</v>
      </c>
      <c r="AB46" s="60">
        <f t="shared" si="40"/>
        <v>43420.605533412214</v>
      </c>
      <c r="AC46" s="60">
        <f t="shared" si="10"/>
        <v>663714.97029644379</v>
      </c>
      <c r="AD46" s="61">
        <f t="shared" si="41"/>
        <v>-65335</v>
      </c>
      <c r="AE46" s="50">
        <f t="shared" si="12"/>
        <v>0</v>
      </c>
      <c r="AH46" s="59">
        <f t="shared" si="34"/>
        <v>1</v>
      </c>
      <c r="AI46" s="50">
        <f t="shared" si="29"/>
        <v>74</v>
      </c>
      <c r="AJ46" s="60">
        <f t="shared" si="25"/>
        <v>400845.03565082868</v>
      </c>
      <c r="AK46" s="60">
        <f t="shared" si="3"/>
        <v>0</v>
      </c>
      <c r="AL46" s="61">
        <f t="shared" si="42"/>
        <v>-65335</v>
      </c>
      <c r="AM46" s="60">
        <f t="shared" si="43"/>
        <v>23485.702495558009</v>
      </c>
      <c r="AN46" s="60">
        <f t="shared" si="26"/>
        <v>358995.73814638669</v>
      </c>
      <c r="AO46" s="50">
        <f t="shared" si="15"/>
        <v>0</v>
      </c>
      <c r="AR46" s="59">
        <f t="shared" si="35"/>
        <v>1</v>
      </c>
      <c r="AS46" s="50">
        <f t="shared" si="30"/>
        <v>74</v>
      </c>
      <c r="AT46" s="60" t="e">
        <f t="shared" si="27"/>
        <v>#REF!</v>
      </c>
      <c r="AU46" s="60">
        <f t="shared" si="36"/>
        <v>0</v>
      </c>
      <c r="AV46" s="61" t="e">
        <f>IF(AX45=0,0,IF(AS46=$E$31,-#REF!*AR46,IF(AS46&lt;$E$31,0,IF(-AV45*AR46&gt;AX45,-AX45,AV45*AR46))))</f>
        <v>#REF!</v>
      </c>
      <c r="AW46" s="60" t="e">
        <f t="shared" si="44"/>
        <v>#REF!</v>
      </c>
      <c r="AX46" s="60" t="e">
        <f t="shared" si="17"/>
        <v>#REF!</v>
      </c>
      <c r="AY46" s="50" t="e">
        <f t="shared" si="18"/>
        <v>#REF!</v>
      </c>
      <c r="BB46" s="59">
        <f t="shared" si="37"/>
        <v>1</v>
      </c>
      <c r="BC46" s="50">
        <f t="shared" si="31"/>
        <v>74</v>
      </c>
      <c r="BD46" s="60">
        <f t="shared" si="28"/>
        <v>750083.09450240026</v>
      </c>
      <c r="BE46" s="60">
        <f t="shared" si="38"/>
        <v>0</v>
      </c>
      <c r="BF46" s="61">
        <f t="shared" si="45"/>
        <v>-65335</v>
      </c>
      <c r="BG46" s="60">
        <f t="shared" si="46"/>
        <v>47932.366615168023</v>
      </c>
      <c r="BH46" s="60">
        <f t="shared" si="21"/>
        <v>732680.46111756831</v>
      </c>
      <c r="BI46" s="50">
        <f t="shared" si="22"/>
        <v>0</v>
      </c>
    </row>
    <row r="47" spans="2:61" x14ac:dyDescent="0.2">
      <c r="B47" s="13"/>
      <c r="C47" s="13"/>
      <c r="D47" s="13"/>
      <c r="E47" s="17"/>
      <c r="F47" s="13"/>
      <c r="G47" s="13"/>
      <c r="H47" s="13"/>
      <c r="I47" s="13"/>
      <c r="J47" s="13"/>
      <c r="K47" s="13"/>
      <c r="N47" s="9"/>
      <c r="O47" s="2"/>
      <c r="P47" s="53"/>
      <c r="Q47" s="59">
        <f t="shared" si="33"/>
        <v>1</v>
      </c>
      <c r="R47" s="59"/>
      <c r="S47" s="59"/>
      <c r="T47" s="59"/>
      <c r="U47" s="59"/>
      <c r="V47" s="59"/>
      <c r="W47" s="59"/>
      <c r="X47" s="50">
        <f>X46+1</f>
        <v>75</v>
      </c>
      <c r="Y47" s="60">
        <f t="shared" si="24"/>
        <v>663714.97029644379</v>
      </c>
      <c r="Z47" s="60">
        <f t="shared" ref="Z47:Z72" si="47">IF(X47&gt;=$E$31,0,$E$17)</f>
        <v>0</v>
      </c>
      <c r="AA47" s="61">
        <f t="shared" si="39"/>
        <v>-70000</v>
      </c>
      <c r="AB47" s="60">
        <f t="shared" si="40"/>
        <v>41560.047920751073</v>
      </c>
      <c r="AC47" s="60">
        <f t="shared" si="10"/>
        <v>635275.01821719483</v>
      </c>
      <c r="AD47" s="61">
        <f t="shared" si="41"/>
        <v>-65335</v>
      </c>
      <c r="AE47" s="50">
        <f t="shared" si="12"/>
        <v>0</v>
      </c>
      <c r="AH47" s="59">
        <f t="shared" si="34"/>
        <v>1</v>
      </c>
      <c r="AI47" s="50">
        <f t="shared" si="29"/>
        <v>75</v>
      </c>
      <c r="AJ47" s="60">
        <f t="shared" si="25"/>
        <v>358995.73814638669</v>
      </c>
      <c r="AK47" s="60">
        <f t="shared" ref="AK47:AK72" si="48">IF(AI47&gt;=$E$31,0,$E$18)</f>
        <v>0</v>
      </c>
      <c r="AL47" s="61">
        <f t="shared" si="42"/>
        <v>-65335</v>
      </c>
      <c r="AM47" s="60">
        <f t="shared" si="43"/>
        <v>20556.251670247071</v>
      </c>
      <c r="AN47" s="60">
        <f t="shared" si="26"/>
        <v>314216.98981663375</v>
      </c>
      <c r="AO47" s="50">
        <f t="shared" si="15"/>
        <v>0</v>
      </c>
      <c r="AR47" s="59">
        <f t="shared" si="35"/>
        <v>1</v>
      </c>
      <c r="AS47" s="50">
        <f t="shared" si="30"/>
        <v>75</v>
      </c>
      <c r="AT47" s="60" t="e">
        <f t="shared" si="27"/>
        <v>#REF!</v>
      </c>
      <c r="AU47" s="60">
        <f t="shared" si="36"/>
        <v>0</v>
      </c>
      <c r="AV47" s="61" t="e">
        <f>IF(AX46=0,0,IF(AS47=$E$31,-#REF!*AR47,IF(AS47&lt;$E$31,0,IF(-AV46*AR47&gt;AX46,-AX46,AV46*AR47))))</f>
        <v>#REF!</v>
      </c>
      <c r="AW47" s="60" t="e">
        <f t="shared" si="44"/>
        <v>#REF!</v>
      </c>
      <c r="AX47" s="60" t="e">
        <f t="shared" si="17"/>
        <v>#REF!</v>
      </c>
      <c r="AY47" s="50" t="e">
        <f t="shared" si="18"/>
        <v>#REF!</v>
      </c>
      <c r="BB47" s="59">
        <f t="shared" si="37"/>
        <v>1</v>
      </c>
      <c r="BC47" s="50">
        <f t="shared" si="31"/>
        <v>75</v>
      </c>
      <c r="BD47" s="60">
        <f t="shared" si="28"/>
        <v>732680.46111756831</v>
      </c>
      <c r="BE47" s="60">
        <f t="shared" si="38"/>
        <v>0</v>
      </c>
      <c r="BF47" s="61">
        <f t="shared" si="45"/>
        <v>-65335</v>
      </c>
      <c r="BG47" s="60">
        <f t="shared" si="46"/>
        <v>46714.18227822979</v>
      </c>
      <c r="BH47" s="60">
        <f t="shared" si="21"/>
        <v>714059.64339579805</v>
      </c>
      <c r="BI47" s="50">
        <f t="shared" si="22"/>
        <v>0</v>
      </c>
    </row>
    <row r="48" spans="2:61" x14ac:dyDescent="0.2">
      <c r="B48" s="13"/>
      <c r="C48" s="13"/>
      <c r="D48" s="13"/>
      <c r="E48" s="14"/>
      <c r="F48" s="13"/>
      <c r="G48" s="13"/>
      <c r="H48" s="13"/>
      <c r="I48" s="13"/>
      <c r="J48" s="67"/>
      <c r="K48" s="68"/>
      <c r="L48" s="2"/>
      <c r="M48" s="2"/>
      <c r="N48" s="2"/>
      <c r="O48" s="4"/>
      <c r="P48" s="53"/>
      <c r="Q48" s="59">
        <f t="shared" si="33"/>
        <v>1</v>
      </c>
      <c r="R48" s="59"/>
      <c r="S48" s="59"/>
      <c r="T48" s="59"/>
      <c r="U48" s="59"/>
      <c r="V48" s="59"/>
      <c r="W48" s="59"/>
      <c r="X48" s="50">
        <f t="shared" si="23"/>
        <v>76</v>
      </c>
      <c r="Y48" s="60">
        <f t="shared" si="24"/>
        <v>635275.01821719483</v>
      </c>
      <c r="Z48" s="60">
        <f t="shared" si="47"/>
        <v>0</v>
      </c>
      <c r="AA48" s="61">
        <f t="shared" si="39"/>
        <v>-70000</v>
      </c>
      <c r="AB48" s="60">
        <f t="shared" si="40"/>
        <v>39569.251275203642</v>
      </c>
      <c r="AC48" s="60">
        <f t="shared" si="10"/>
        <v>604844.26949239848</v>
      </c>
      <c r="AD48" s="61">
        <f t="shared" si="41"/>
        <v>-65335</v>
      </c>
      <c r="AE48" s="50">
        <f t="shared" si="12"/>
        <v>0</v>
      </c>
      <c r="AH48" s="59">
        <f t="shared" si="34"/>
        <v>1</v>
      </c>
      <c r="AI48" s="50">
        <f t="shared" si="29"/>
        <v>76</v>
      </c>
      <c r="AJ48" s="60">
        <f t="shared" si="25"/>
        <v>314216.98981663375</v>
      </c>
      <c r="AK48" s="60">
        <f t="shared" si="48"/>
        <v>0</v>
      </c>
      <c r="AL48" s="61">
        <f t="shared" si="42"/>
        <v>-65335</v>
      </c>
      <c r="AM48" s="60">
        <f t="shared" si="43"/>
        <v>17421.739287164364</v>
      </c>
      <c r="AN48" s="60">
        <f t="shared" si="26"/>
        <v>266303.7291037981</v>
      </c>
      <c r="AO48" s="50">
        <f t="shared" si="15"/>
        <v>0</v>
      </c>
      <c r="AR48" s="59">
        <f t="shared" si="35"/>
        <v>1</v>
      </c>
      <c r="AS48" s="50">
        <f t="shared" si="30"/>
        <v>76</v>
      </c>
      <c r="AT48" s="60" t="e">
        <f t="shared" si="27"/>
        <v>#REF!</v>
      </c>
      <c r="AU48" s="60">
        <f t="shared" si="36"/>
        <v>0</v>
      </c>
      <c r="AV48" s="61" t="e">
        <f>IF(AX47=0,0,IF(AS48=$E$31,-#REF!*AR48,IF(AS48&lt;$E$31,0,IF(-AV47*AR48&gt;AX47,-AX47,AV47*AR48))))</f>
        <v>#REF!</v>
      </c>
      <c r="AW48" s="60" t="e">
        <f t="shared" si="44"/>
        <v>#REF!</v>
      </c>
      <c r="AX48" s="60" t="e">
        <f t="shared" si="17"/>
        <v>#REF!</v>
      </c>
      <c r="AY48" s="50" t="e">
        <f t="shared" si="18"/>
        <v>#REF!</v>
      </c>
      <c r="BB48" s="59">
        <f t="shared" si="37"/>
        <v>1</v>
      </c>
      <c r="BC48" s="50">
        <f t="shared" si="31"/>
        <v>76</v>
      </c>
      <c r="BD48" s="60">
        <f t="shared" si="28"/>
        <v>714059.64339579805</v>
      </c>
      <c r="BE48" s="60">
        <f t="shared" si="38"/>
        <v>0</v>
      </c>
      <c r="BF48" s="61">
        <f t="shared" si="45"/>
        <v>-65335</v>
      </c>
      <c r="BG48" s="60">
        <f t="shared" si="46"/>
        <v>45410.725037705866</v>
      </c>
      <c r="BH48" s="60">
        <f t="shared" si="21"/>
        <v>694135.3684335039</v>
      </c>
      <c r="BI48" s="50">
        <f t="shared" si="22"/>
        <v>0</v>
      </c>
    </row>
    <row r="49" spans="1:61" x14ac:dyDescent="0.2">
      <c r="B49" s="13"/>
      <c r="C49" s="78" t="s">
        <v>53</v>
      </c>
      <c r="D49" s="78"/>
      <c r="E49" s="78"/>
      <c r="F49" s="79" t="s">
        <v>54</v>
      </c>
      <c r="G49" s="79"/>
      <c r="H49" s="79"/>
      <c r="I49" s="13"/>
      <c r="J49" s="44"/>
      <c r="K49" s="44"/>
      <c r="L49" s="4"/>
      <c r="M49" s="4"/>
      <c r="N49" s="4"/>
      <c r="O49" s="4"/>
      <c r="P49" s="53"/>
      <c r="Q49" s="59">
        <f t="shared" si="33"/>
        <v>1</v>
      </c>
      <c r="R49" s="59"/>
      <c r="S49" s="59"/>
      <c r="T49" s="59"/>
      <c r="U49" s="59"/>
      <c r="V49" s="59"/>
      <c r="W49" s="59"/>
      <c r="X49" s="50">
        <f t="shared" si="23"/>
        <v>77</v>
      </c>
      <c r="Y49" s="60">
        <f t="shared" si="24"/>
        <v>604844.26949239848</v>
      </c>
      <c r="Z49" s="60">
        <f t="shared" si="47"/>
        <v>0</v>
      </c>
      <c r="AA49" s="61">
        <f t="shared" si="39"/>
        <v>-70000</v>
      </c>
      <c r="AB49" s="60">
        <f t="shared" si="40"/>
        <v>37439.098864467895</v>
      </c>
      <c r="AC49" s="60">
        <f t="shared" si="10"/>
        <v>572283.36835686641</v>
      </c>
      <c r="AD49" s="61">
        <f t="shared" si="41"/>
        <v>-65335</v>
      </c>
      <c r="AE49" s="50">
        <f t="shared" si="12"/>
        <v>0</v>
      </c>
      <c r="AH49" s="59">
        <f t="shared" si="34"/>
        <v>1</v>
      </c>
      <c r="AI49" s="50">
        <f t="shared" si="29"/>
        <v>77</v>
      </c>
      <c r="AJ49" s="60">
        <f t="shared" si="25"/>
        <v>266303.7291037981</v>
      </c>
      <c r="AK49" s="60">
        <f t="shared" si="48"/>
        <v>0</v>
      </c>
      <c r="AL49" s="61">
        <f t="shared" si="42"/>
        <v>-65335</v>
      </c>
      <c r="AM49" s="60">
        <f t="shared" si="43"/>
        <v>14067.811037265868</v>
      </c>
      <c r="AN49" s="60">
        <f t="shared" si="26"/>
        <v>215036.54014106398</v>
      </c>
      <c r="AO49" s="50">
        <f t="shared" si="15"/>
        <v>0</v>
      </c>
      <c r="AR49" s="59">
        <f t="shared" si="35"/>
        <v>1</v>
      </c>
      <c r="AS49" s="50">
        <f t="shared" si="30"/>
        <v>77</v>
      </c>
      <c r="AT49" s="60" t="e">
        <f t="shared" si="27"/>
        <v>#REF!</v>
      </c>
      <c r="AU49" s="60">
        <f t="shared" si="36"/>
        <v>0</v>
      </c>
      <c r="AV49" s="61" t="e">
        <f>IF(AX48=0,0,IF(AS49=$E$31,-#REF!*AR49,IF(AS49&lt;$E$31,0,IF(-AV48*AR49&gt;AX48,-AX48,AV48*AR49))))</f>
        <v>#REF!</v>
      </c>
      <c r="AW49" s="60" t="e">
        <f t="shared" si="44"/>
        <v>#REF!</v>
      </c>
      <c r="AX49" s="60" t="e">
        <f t="shared" si="17"/>
        <v>#REF!</v>
      </c>
      <c r="AY49" s="50" t="e">
        <f t="shared" si="18"/>
        <v>#REF!</v>
      </c>
      <c r="BB49" s="59">
        <f t="shared" si="37"/>
        <v>1</v>
      </c>
      <c r="BC49" s="50">
        <f t="shared" si="31"/>
        <v>77</v>
      </c>
      <c r="BD49" s="60">
        <f t="shared" si="28"/>
        <v>694135.3684335039</v>
      </c>
      <c r="BE49" s="60">
        <f t="shared" si="38"/>
        <v>0</v>
      </c>
      <c r="BF49" s="61">
        <f t="shared" si="45"/>
        <v>-65335</v>
      </c>
      <c r="BG49" s="60">
        <f t="shared" si="46"/>
        <v>44016.02579034528</v>
      </c>
      <c r="BH49" s="60">
        <f t="shared" si="21"/>
        <v>672816.39422384917</v>
      </c>
      <c r="BI49" s="50">
        <f t="shared" si="22"/>
        <v>0</v>
      </c>
    </row>
    <row r="50" spans="1:61" x14ac:dyDescent="0.2">
      <c r="B50" s="13"/>
      <c r="C50" s="13" t="s">
        <v>2</v>
      </c>
      <c r="D50" s="13" t="s">
        <v>76</v>
      </c>
      <c r="E50" s="17" t="s">
        <v>74</v>
      </c>
      <c r="F50" s="13" t="s">
        <v>2</v>
      </c>
      <c r="G50" s="13" t="s">
        <v>76</v>
      </c>
      <c r="H50" s="13" t="s">
        <v>75</v>
      </c>
      <c r="I50" s="44"/>
      <c r="J50" s="13" t="s">
        <v>58</v>
      </c>
      <c r="K50" s="45"/>
      <c r="N50" s="4"/>
      <c r="O50" s="4"/>
      <c r="P50" s="53"/>
      <c r="Q50" s="59">
        <f t="shared" si="33"/>
        <v>1</v>
      </c>
      <c r="R50" s="59"/>
      <c r="S50" s="59"/>
      <c r="T50" s="59"/>
      <c r="U50" s="59"/>
      <c r="V50" s="59"/>
      <c r="W50" s="59"/>
      <c r="X50" s="50">
        <f t="shared" si="23"/>
        <v>78</v>
      </c>
      <c r="Y50" s="60">
        <f t="shared" si="24"/>
        <v>572283.36835686641</v>
      </c>
      <c r="Z50" s="60">
        <f t="shared" si="47"/>
        <v>0</v>
      </c>
      <c r="AA50" s="61">
        <f t="shared" si="39"/>
        <v>-70000</v>
      </c>
      <c r="AB50" s="60">
        <f t="shared" si="40"/>
        <v>35159.835784980649</v>
      </c>
      <c r="AC50" s="60">
        <f t="shared" si="10"/>
        <v>537443.20414184709</v>
      </c>
      <c r="AD50" s="61">
        <f t="shared" si="41"/>
        <v>-65335</v>
      </c>
      <c r="AE50" s="50">
        <f t="shared" si="12"/>
        <v>0</v>
      </c>
      <c r="AH50" s="59">
        <f t="shared" si="34"/>
        <v>1</v>
      </c>
      <c r="AI50" s="50">
        <f t="shared" si="29"/>
        <v>78</v>
      </c>
      <c r="AJ50" s="60">
        <f t="shared" si="25"/>
        <v>215036.54014106398</v>
      </c>
      <c r="AK50" s="60">
        <f t="shared" si="48"/>
        <v>0</v>
      </c>
      <c r="AL50" s="61">
        <f t="shared" si="42"/>
        <v>-65335</v>
      </c>
      <c r="AM50" s="60">
        <f t="shared" si="43"/>
        <v>10479.10780987448</v>
      </c>
      <c r="AN50" s="60">
        <f t="shared" si="26"/>
        <v>160180.64795093847</v>
      </c>
      <c r="AO50" s="50">
        <f t="shared" si="15"/>
        <v>0</v>
      </c>
      <c r="AR50" s="59">
        <f t="shared" si="35"/>
        <v>1</v>
      </c>
      <c r="AS50" s="50">
        <f t="shared" si="30"/>
        <v>78</v>
      </c>
      <c r="AT50" s="60" t="e">
        <f t="shared" si="27"/>
        <v>#REF!</v>
      </c>
      <c r="AU50" s="60">
        <f t="shared" si="36"/>
        <v>0</v>
      </c>
      <c r="AV50" s="61" t="e">
        <f>IF(AX49=0,0,IF(AS50=$E$31,-#REF!*AR50,IF(AS50&lt;$E$31,0,IF(-AV49*AR50&gt;AX49,-AX49,AV49*AR50))))</f>
        <v>#REF!</v>
      </c>
      <c r="AW50" s="60" t="e">
        <f t="shared" si="44"/>
        <v>#REF!</v>
      </c>
      <c r="AX50" s="60" t="e">
        <f t="shared" si="17"/>
        <v>#REF!</v>
      </c>
      <c r="AY50" s="50" t="e">
        <f t="shared" si="18"/>
        <v>#REF!</v>
      </c>
      <c r="BB50" s="59">
        <f t="shared" si="37"/>
        <v>1</v>
      </c>
      <c r="BC50" s="50">
        <f t="shared" si="31"/>
        <v>78</v>
      </c>
      <c r="BD50" s="60">
        <f t="shared" si="28"/>
        <v>672816.39422384917</v>
      </c>
      <c r="BE50" s="60">
        <f t="shared" si="38"/>
        <v>0</v>
      </c>
      <c r="BF50" s="61">
        <f t="shared" si="45"/>
        <v>-65335</v>
      </c>
      <c r="BG50" s="60">
        <f t="shared" si="46"/>
        <v>42523.697595669444</v>
      </c>
      <c r="BH50" s="60">
        <f t="shared" si="21"/>
        <v>650005.0918195186</v>
      </c>
      <c r="BI50" s="50">
        <f t="shared" si="22"/>
        <v>0</v>
      </c>
    </row>
    <row r="51" spans="1:61" x14ac:dyDescent="0.2">
      <c r="B51" s="46" t="s">
        <v>57</v>
      </c>
      <c r="C51" s="47">
        <f>SUM(Z9:Z112)</f>
        <v>280000</v>
      </c>
      <c r="D51" s="47">
        <f>E51-C51</f>
        <v>1308928.6973089338</v>
      </c>
      <c r="E51" s="49">
        <f>$AD$116</f>
        <v>1588928.6973089338</v>
      </c>
      <c r="F51" s="47">
        <f>SUM(AK9:AK112)</f>
        <v>218400</v>
      </c>
      <c r="G51" s="47">
        <f>H51-F51</f>
        <v>865640.33233902953</v>
      </c>
      <c r="H51" s="47">
        <f>$AL$116</f>
        <v>1084040.3323390295</v>
      </c>
      <c r="I51" s="47"/>
      <c r="J51" s="47">
        <f>$BF$116</f>
        <v>1931368.5712053203</v>
      </c>
      <c r="K51" s="13"/>
      <c r="N51" s="4"/>
      <c r="O51" s="4"/>
      <c r="P51" s="53"/>
      <c r="Q51" s="59">
        <f t="shared" si="33"/>
        <v>1</v>
      </c>
      <c r="R51" s="59"/>
      <c r="S51" s="59"/>
      <c r="T51" s="59"/>
      <c r="U51" s="59"/>
      <c r="V51" s="59"/>
      <c r="W51" s="59"/>
      <c r="X51" s="50">
        <f t="shared" si="23"/>
        <v>79</v>
      </c>
      <c r="Y51" s="60">
        <f t="shared" si="24"/>
        <v>537443.20414184709</v>
      </c>
      <c r="Z51" s="60">
        <f t="shared" si="47"/>
        <v>0</v>
      </c>
      <c r="AA51" s="61">
        <f t="shared" si="39"/>
        <v>-70000</v>
      </c>
      <c r="AB51" s="60">
        <f t="shared" si="40"/>
        <v>32721.024289929301</v>
      </c>
      <c r="AC51" s="60">
        <f t="shared" si="10"/>
        <v>500164.2284317764</v>
      </c>
      <c r="AD51" s="61">
        <f t="shared" si="41"/>
        <v>-65335</v>
      </c>
      <c r="AE51" s="50">
        <f t="shared" si="12"/>
        <v>0</v>
      </c>
      <c r="AH51" s="59">
        <f t="shared" si="34"/>
        <v>1</v>
      </c>
      <c r="AI51" s="50">
        <f t="shared" si="29"/>
        <v>79</v>
      </c>
      <c r="AJ51" s="60">
        <f t="shared" si="25"/>
        <v>160180.64795093847</v>
      </c>
      <c r="AK51" s="60">
        <f t="shared" si="48"/>
        <v>0</v>
      </c>
      <c r="AL51" s="61">
        <f t="shared" si="42"/>
        <v>-65335</v>
      </c>
      <c r="AM51" s="60">
        <f t="shared" si="43"/>
        <v>6639.1953565656931</v>
      </c>
      <c r="AN51" s="60">
        <f t="shared" si="26"/>
        <v>101484.84330750415</v>
      </c>
      <c r="AO51" s="50">
        <f t="shared" si="15"/>
        <v>0</v>
      </c>
      <c r="AR51" s="59">
        <f t="shared" si="35"/>
        <v>1</v>
      </c>
      <c r="AS51" s="50">
        <f t="shared" si="30"/>
        <v>79</v>
      </c>
      <c r="AT51" s="60" t="e">
        <f t="shared" si="27"/>
        <v>#REF!</v>
      </c>
      <c r="AU51" s="60">
        <f t="shared" si="36"/>
        <v>0</v>
      </c>
      <c r="AV51" s="61" t="e">
        <f>IF(AX50=0,0,IF(AS51=$E$31,-#REF!*AR51,IF(AS51&lt;$E$31,0,IF(-AV50*AR51&gt;AX50,-AX50,AV50*AR51))))</f>
        <v>#REF!</v>
      </c>
      <c r="AW51" s="60" t="e">
        <f t="shared" si="44"/>
        <v>#REF!</v>
      </c>
      <c r="AX51" s="60" t="e">
        <f t="shared" si="17"/>
        <v>#REF!</v>
      </c>
      <c r="AY51" s="50" t="e">
        <f t="shared" si="18"/>
        <v>#REF!</v>
      </c>
      <c r="BB51" s="59">
        <f t="shared" si="37"/>
        <v>1</v>
      </c>
      <c r="BC51" s="50">
        <f t="shared" si="31"/>
        <v>79</v>
      </c>
      <c r="BD51" s="60">
        <f t="shared" si="28"/>
        <v>650005.0918195186</v>
      </c>
      <c r="BE51" s="60">
        <f t="shared" si="38"/>
        <v>0</v>
      </c>
      <c r="BF51" s="61">
        <f t="shared" si="45"/>
        <v>-65335</v>
      </c>
      <c r="BG51" s="60">
        <f t="shared" si="46"/>
        <v>40926.906427366303</v>
      </c>
      <c r="BH51" s="60">
        <f t="shared" si="21"/>
        <v>625596.9982468849</v>
      </c>
      <c r="BI51" s="50">
        <f t="shared" si="22"/>
        <v>0</v>
      </c>
    </row>
    <row r="52" spans="1:61" x14ac:dyDescent="0.2">
      <c r="B52" s="13"/>
      <c r="C52" s="13"/>
      <c r="D52" s="13"/>
      <c r="E52" s="17"/>
      <c r="F52" s="13"/>
      <c r="G52" s="13"/>
      <c r="H52" s="13"/>
      <c r="I52" s="16"/>
      <c r="J52" s="45"/>
      <c r="K52" s="16"/>
      <c r="N52" s="4"/>
      <c r="O52" s="4"/>
      <c r="P52" s="53"/>
      <c r="Q52" s="59">
        <f t="shared" si="33"/>
        <v>1</v>
      </c>
      <c r="R52" s="59"/>
      <c r="S52" s="59"/>
      <c r="T52" s="59"/>
      <c r="U52" s="59"/>
      <c r="V52" s="59"/>
      <c r="W52" s="59"/>
      <c r="X52" s="50">
        <f t="shared" si="23"/>
        <v>80</v>
      </c>
      <c r="Y52" s="60">
        <f t="shared" si="24"/>
        <v>500164.2284317764</v>
      </c>
      <c r="Z52" s="60">
        <f t="shared" si="47"/>
        <v>0</v>
      </c>
      <c r="AA52" s="61">
        <f t="shared" si="39"/>
        <v>-70000</v>
      </c>
      <c r="AB52" s="60">
        <f t="shared" si="40"/>
        <v>30111.49599022435</v>
      </c>
      <c r="AC52" s="60">
        <f t="shared" si="10"/>
        <v>460275.72442200076</v>
      </c>
      <c r="AD52" s="61">
        <f t="shared" si="41"/>
        <v>-65335</v>
      </c>
      <c r="AE52" s="50">
        <f t="shared" si="12"/>
        <v>0</v>
      </c>
      <c r="AH52" s="59">
        <f t="shared" si="34"/>
        <v>1</v>
      </c>
      <c r="AI52" s="50">
        <f t="shared" si="29"/>
        <v>80</v>
      </c>
      <c r="AJ52" s="60">
        <f t="shared" si="25"/>
        <v>101484.84330750415</v>
      </c>
      <c r="AK52" s="60">
        <f t="shared" si="48"/>
        <v>0</v>
      </c>
      <c r="AL52" s="61">
        <f t="shared" si="42"/>
        <v>-65335</v>
      </c>
      <c r="AM52" s="60">
        <f t="shared" si="43"/>
        <v>2530.489031525291</v>
      </c>
      <c r="AN52" s="60">
        <f t="shared" si="26"/>
        <v>38680.332339029446</v>
      </c>
      <c r="AO52" s="50">
        <f t="shared" si="15"/>
        <v>0</v>
      </c>
      <c r="AR52" s="59">
        <f t="shared" si="35"/>
        <v>1</v>
      </c>
      <c r="AS52" s="50">
        <f t="shared" si="30"/>
        <v>80</v>
      </c>
      <c r="AT52" s="60" t="e">
        <f t="shared" si="27"/>
        <v>#REF!</v>
      </c>
      <c r="AU52" s="60">
        <f t="shared" si="36"/>
        <v>0</v>
      </c>
      <c r="AV52" s="61" t="e">
        <f>IF(AX51=0,0,IF(AS52=$E$31,-#REF!*AR52,IF(AS52&lt;$E$31,0,IF(-AV51*AR52&gt;AX51,-AX51,AV51*AR52))))</f>
        <v>#REF!</v>
      </c>
      <c r="AW52" s="60" t="e">
        <f t="shared" si="44"/>
        <v>#REF!</v>
      </c>
      <c r="AX52" s="60" t="e">
        <f t="shared" si="17"/>
        <v>#REF!</v>
      </c>
      <c r="AY52" s="50" t="e">
        <f t="shared" si="18"/>
        <v>#REF!</v>
      </c>
      <c r="BB52" s="59">
        <f t="shared" si="37"/>
        <v>1</v>
      </c>
      <c r="BC52" s="50">
        <f t="shared" si="31"/>
        <v>80</v>
      </c>
      <c r="BD52" s="60">
        <f t="shared" si="28"/>
        <v>625596.9982468849</v>
      </c>
      <c r="BE52" s="60">
        <f t="shared" si="38"/>
        <v>0</v>
      </c>
      <c r="BF52" s="61">
        <f t="shared" si="45"/>
        <v>-65335</v>
      </c>
      <c r="BG52" s="60">
        <f t="shared" si="46"/>
        <v>39218.339877281949</v>
      </c>
      <c r="BH52" s="60">
        <f t="shared" si="21"/>
        <v>599480.33812416682</v>
      </c>
      <c r="BI52" s="50">
        <f t="shared" si="22"/>
        <v>0</v>
      </c>
    </row>
    <row r="53" spans="1:61" x14ac:dyDescent="0.2">
      <c r="B53" s="13"/>
      <c r="C53" s="13"/>
      <c r="D53" s="13"/>
      <c r="E53" s="17"/>
      <c r="F53" s="13"/>
      <c r="G53" s="13"/>
      <c r="H53" s="13"/>
      <c r="I53" s="13"/>
      <c r="J53" s="13"/>
      <c r="K53" s="13"/>
      <c r="N53" s="4"/>
      <c r="O53" s="4"/>
      <c r="P53" s="53"/>
      <c r="Q53" s="59">
        <f t="shared" si="33"/>
        <v>1</v>
      </c>
      <c r="R53" s="59"/>
      <c r="S53" s="59"/>
      <c r="T53" s="59"/>
      <c r="U53" s="59"/>
      <c r="V53" s="59"/>
      <c r="W53" s="59"/>
      <c r="X53" s="50">
        <f t="shared" si="23"/>
        <v>81</v>
      </c>
      <c r="Y53" s="60">
        <f t="shared" si="24"/>
        <v>460275.72442200076</v>
      </c>
      <c r="Z53" s="60">
        <f t="shared" si="47"/>
        <v>0</v>
      </c>
      <c r="AA53" s="61">
        <f t="shared" si="39"/>
        <v>-70000</v>
      </c>
      <c r="AB53" s="60">
        <f t="shared" si="40"/>
        <v>27319.300709540057</v>
      </c>
      <c r="AC53" s="60">
        <f t="shared" si="10"/>
        <v>417595.02513154084</v>
      </c>
      <c r="AD53" s="61">
        <f t="shared" si="41"/>
        <v>-65335</v>
      </c>
      <c r="AE53" s="50">
        <f t="shared" si="12"/>
        <v>0</v>
      </c>
      <c r="AH53" s="59">
        <f t="shared" si="34"/>
        <v>1</v>
      </c>
      <c r="AI53" s="50">
        <f t="shared" si="29"/>
        <v>81</v>
      </c>
      <c r="AJ53" s="60">
        <f t="shared" si="25"/>
        <v>38680.332339029446</v>
      </c>
      <c r="AK53" s="60">
        <f t="shared" si="48"/>
        <v>0</v>
      </c>
      <c r="AL53" s="61">
        <f t="shared" si="42"/>
        <v>-38680.332339029446</v>
      </c>
      <c r="AM53" s="60">
        <f t="shared" si="43"/>
        <v>0</v>
      </c>
      <c r="AN53" s="60">
        <f t="shared" si="26"/>
        <v>0</v>
      </c>
      <c r="AO53" s="50">
        <f t="shared" si="15"/>
        <v>0</v>
      </c>
      <c r="AR53" s="59">
        <f t="shared" si="35"/>
        <v>1</v>
      </c>
      <c r="AS53" s="50">
        <f t="shared" si="30"/>
        <v>81</v>
      </c>
      <c r="AT53" s="60" t="e">
        <f t="shared" si="27"/>
        <v>#REF!</v>
      </c>
      <c r="AU53" s="60">
        <f t="shared" si="36"/>
        <v>0</v>
      </c>
      <c r="AV53" s="61" t="e">
        <f>IF(AX52=0,0,IF(AS53=$E$31,-#REF!*AR53,IF(AS53&lt;$E$31,0,IF(-AV52*AR53&gt;AX52,-AX52,AV52*AR53))))</f>
        <v>#REF!</v>
      </c>
      <c r="AW53" s="60" t="e">
        <f t="shared" si="44"/>
        <v>#REF!</v>
      </c>
      <c r="AX53" s="60" t="e">
        <f t="shared" si="17"/>
        <v>#REF!</v>
      </c>
      <c r="AY53" s="50" t="e">
        <f t="shared" si="18"/>
        <v>#REF!</v>
      </c>
      <c r="BB53" s="59">
        <f t="shared" si="37"/>
        <v>1</v>
      </c>
      <c r="BC53" s="50">
        <f t="shared" si="31"/>
        <v>81</v>
      </c>
      <c r="BD53" s="60">
        <f t="shared" si="28"/>
        <v>599480.33812416682</v>
      </c>
      <c r="BE53" s="60">
        <f t="shared" si="38"/>
        <v>0</v>
      </c>
      <c r="BF53" s="61">
        <f t="shared" si="45"/>
        <v>-65335</v>
      </c>
      <c r="BG53" s="60">
        <f t="shared" si="46"/>
        <v>37390.173668691685</v>
      </c>
      <c r="BH53" s="60">
        <f t="shared" si="21"/>
        <v>571535.51179285848</v>
      </c>
      <c r="BI53" s="50">
        <f t="shared" si="22"/>
        <v>0</v>
      </c>
    </row>
    <row r="54" spans="1:61" x14ac:dyDescent="0.2">
      <c r="B54" s="13"/>
      <c r="C54" s="13"/>
      <c r="D54" s="13"/>
      <c r="E54" s="17"/>
      <c r="F54" s="13"/>
      <c r="G54" s="13"/>
      <c r="H54" s="13"/>
      <c r="I54" s="68"/>
      <c r="J54" s="68"/>
      <c r="K54" s="13"/>
      <c r="L54" s="4"/>
      <c r="M54" s="4"/>
      <c r="N54" s="4"/>
      <c r="O54" s="4"/>
      <c r="Q54" s="59">
        <f t="shared" si="33"/>
        <v>1</v>
      </c>
      <c r="R54" s="59"/>
      <c r="S54" s="59"/>
      <c r="T54" s="59"/>
      <c r="U54" s="59"/>
      <c r="V54" s="59"/>
      <c r="W54" s="59"/>
      <c r="X54" s="50">
        <f t="shared" si="23"/>
        <v>82</v>
      </c>
      <c r="Y54" s="60">
        <f t="shared" si="24"/>
        <v>417595.02513154084</v>
      </c>
      <c r="Z54" s="60">
        <f t="shared" si="47"/>
        <v>0</v>
      </c>
      <c r="AA54" s="61">
        <f t="shared" si="39"/>
        <v>-70000</v>
      </c>
      <c r="AB54" s="60">
        <f t="shared" si="40"/>
        <v>24331.65175920786</v>
      </c>
      <c r="AC54" s="60">
        <f t="shared" si="10"/>
        <v>371926.67689074867</v>
      </c>
      <c r="AD54" s="61">
        <f t="shared" si="41"/>
        <v>-65335</v>
      </c>
      <c r="AE54" s="50">
        <f t="shared" si="12"/>
        <v>0</v>
      </c>
      <c r="AH54" s="59">
        <f t="shared" si="34"/>
        <v>1</v>
      </c>
      <c r="AI54" s="50">
        <f t="shared" si="29"/>
        <v>82</v>
      </c>
      <c r="AJ54" s="60">
        <f t="shared" si="25"/>
        <v>0</v>
      </c>
      <c r="AK54" s="60">
        <f t="shared" si="48"/>
        <v>0</v>
      </c>
      <c r="AL54" s="61">
        <f t="shared" si="42"/>
        <v>0</v>
      </c>
      <c r="AM54" s="60">
        <f t="shared" si="43"/>
        <v>0</v>
      </c>
      <c r="AN54" s="60">
        <f t="shared" si="26"/>
        <v>0</v>
      </c>
      <c r="AO54" s="50">
        <f t="shared" si="15"/>
        <v>0</v>
      </c>
      <c r="AR54" s="59">
        <f t="shared" si="35"/>
        <v>1</v>
      </c>
      <c r="AS54" s="50">
        <f t="shared" si="30"/>
        <v>82</v>
      </c>
      <c r="AT54" s="60" t="e">
        <f t="shared" si="27"/>
        <v>#REF!</v>
      </c>
      <c r="AU54" s="60">
        <f t="shared" si="36"/>
        <v>0</v>
      </c>
      <c r="AV54" s="61" t="e">
        <f>IF(AX53=0,0,IF(AS54=$E$31,-#REF!*AR54,IF(AS54&lt;$E$31,0,IF(-AV53*AR54&gt;AX53,-AX53,AV53*AR54))))</f>
        <v>#REF!</v>
      </c>
      <c r="AW54" s="60" t="e">
        <f t="shared" si="44"/>
        <v>#REF!</v>
      </c>
      <c r="AX54" s="60" t="e">
        <f t="shared" si="17"/>
        <v>#REF!</v>
      </c>
      <c r="AY54" s="50" t="e">
        <f t="shared" si="18"/>
        <v>#REF!</v>
      </c>
      <c r="BB54" s="59">
        <f t="shared" si="37"/>
        <v>1</v>
      </c>
      <c r="BC54" s="50">
        <f t="shared" si="31"/>
        <v>82</v>
      </c>
      <c r="BD54" s="60">
        <f t="shared" si="28"/>
        <v>571535.51179285848</v>
      </c>
      <c r="BE54" s="60">
        <f t="shared" si="38"/>
        <v>0</v>
      </c>
      <c r="BF54" s="61">
        <f t="shared" si="45"/>
        <v>-65335</v>
      </c>
      <c r="BG54" s="60">
        <f t="shared" si="46"/>
        <v>35434.035825500097</v>
      </c>
      <c r="BH54" s="60">
        <f t="shared" si="21"/>
        <v>541634.54761835863</v>
      </c>
      <c r="BI54" s="50">
        <f t="shared" si="22"/>
        <v>0</v>
      </c>
    </row>
    <row r="55" spans="1:61" x14ac:dyDescent="0.2">
      <c r="B55" s="13"/>
      <c r="C55" s="13"/>
      <c r="D55" s="13"/>
      <c r="E55" s="17"/>
      <c r="F55" s="13"/>
      <c r="G55" s="13"/>
      <c r="H55" s="13"/>
      <c r="I55" s="13"/>
      <c r="J55" s="13"/>
      <c r="K55" s="13"/>
      <c r="L55" s="4"/>
      <c r="M55" s="4"/>
      <c r="N55" s="4"/>
      <c r="P55" s="54"/>
      <c r="Q55" s="59">
        <f t="shared" si="33"/>
        <v>1</v>
      </c>
      <c r="R55" s="59"/>
      <c r="S55" s="59"/>
      <c r="T55" s="59"/>
      <c r="U55" s="59"/>
      <c r="V55" s="59"/>
      <c r="W55" s="59"/>
      <c r="X55" s="50">
        <f t="shared" si="23"/>
        <v>83</v>
      </c>
      <c r="Y55" s="60">
        <f t="shared" si="24"/>
        <v>371926.67689074867</v>
      </c>
      <c r="Z55" s="60">
        <f t="shared" si="47"/>
        <v>0</v>
      </c>
      <c r="AA55" s="61">
        <f t="shared" si="39"/>
        <v>-70000</v>
      </c>
      <c r="AB55" s="60">
        <f t="shared" si="40"/>
        <v>21134.867382352408</v>
      </c>
      <c r="AC55" s="60">
        <f t="shared" si="10"/>
        <v>323061.54427310108</v>
      </c>
      <c r="AD55" s="61">
        <f t="shared" si="41"/>
        <v>-65335</v>
      </c>
      <c r="AE55" s="50">
        <f t="shared" si="12"/>
        <v>0</v>
      </c>
      <c r="AH55" s="59">
        <f t="shared" si="34"/>
        <v>1</v>
      </c>
      <c r="AI55" s="50">
        <f t="shared" si="29"/>
        <v>83</v>
      </c>
      <c r="AJ55" s="60">
        <f t="shared" si="25"/>
        <v>0</v>
      </c>
      <c r="AK55" s="60">
        <f t="shared" si="48"/>
        <v>0</v>
      </c>
      <c r="AL55" s="61">
        <f t="shared" si="42"/>
        <v>0</v>
      </c>
      <c r="AM55" s="60">
        <f t="shared" si="43"/>
        <v>0</v>
      </c>
      <c r="AN55" s="60">
        <f t="shared" si="26"/>
        <v>0</v>
      </c>
      <c r="AO55" s="50">
        <f t="shared" si="15"/>
        <v>0</v>
      </c>
      <c r="AR55" s="59">
        <f t="shared" si="35"/>
        <v>1</v>
      </c>
      <c r="AS55" s="50">
        <f t="shared" si="30"/>
        <v>83</v>
      </c>
      <c r="AT55" s="60" t="e">
        <f t="shared" si="27"/>
        <v>#REF!</v>
      </c>
      <c r="AU55" s="60">
        <f t="shared" si="36"/>
        <v>0</v>
      </c>
      <c r="AV55" s="61" t="e">
        <f>IF(AX54=0,0,IF(AS55=$E$31,-#REF!*AR55,IF(AS55&lt;$E$31,0,IF(-AV54*AR55&gt;AX54,-AX54,AV54*AR55))))</f>
        <v>#REF!</v>
      </c>
      <c r="AW55" s="60" t="e">
        <f t="shared" si="44"/>
        <v>#REF!</v>
      </c>
      <c r="AX55" s="60" t="e">
        <f t="shared" si="17"/>
        <v>#REF!</v>
      </c>
      <c r="AY55" s="50" t="e">
        <f t="shared" si="18"/>
        <v>#REF!</v>
      </c>
      <c r="BB55" s="59">
        <f t="shared" si="37"/>
        <v>1</v>
      </c>
      <c r="BC55" s="50">
        <f t="shared" si="31"/>
        <v>83</v>
      </c>
      <c r="BD55" s="60">
        <f t="shared" si="28"/>
        <v>541634.54761835863</v>
      </c>
      <c r="BE55" s="60">
        <f t="shared" si="38"/>
        <v>0</v>
      </c>
      <c r="BF55" s="61">
        <f t="shared" si="45"/>
        <v>-65335</v>
      </c>
      <c r="BG55" s="60">
        <f t="shared" si="46"/>
        <v>33340.968333285105</v>
      </c>
      <c r="BH55" s="60">
        <f t="shared" si="21"/>
        <v>509640.51595164376</v>
      </c>
      <c r="BI55" s="50">
        <f t="shared" si="22"/>
        <v>0</v>
      </c>
    </row>
    <row r="56" spans="1:61" x14ac:dyDescent="0.2">
      <c r="B56" s="13"/>
      <c r="C56" s="13"/>
      <c r="D56" s="13"/>
      <c r="E56" s="17" t="str">
        <f>"Based on your inputs and assumptions, you should invest in a"</f>
        <v>Based on your inputs and assumptions, you should invest in a</v>
      </c>
      <c r="F56" s="13"/>
      <c r="G56" s="13"/>
      <c r="H56" s="13"/>
      <c r="I56" s="13"/>
      <c r="J56" s="13"/>
      <c r="K56" s="13"/>
      <c r="O56" s="6"/>
      <c r="Q56" s="59">
        <f t="shared" si="33"/>
        <v>1</v>
      </c>
      <c r="R56" s="59"/>
      <c r="S56" s="59"/>
      <c r="T56" s="59"/>
      <c r="U56" s="59"/>
      <c r="V56" s="59"/>
      <c r="W56" s="59"/>
      <c r="X56" s="50">
        <f t="shared" si="23"/>
        <v>84</v>
      </c>
      <c r="Y56" s="60">
        <f t="shared" si="24"/>
        <v>323061.54427310108</v>
      </c>
      <c r="Z56" s="60">
        <f t="shared" si="47"/>
        <v>0</v>
      </c>
      <c r="AA56" s="61">
        <f t="shared" si="39"/>
        <v>-70000</v>
      </c>
      <c r="AB56" s="60">
        <f t="shared" si="40"/>
        <v>17714.308099117079</v>
      </c>
      <c r="AC56" s="60">
        <f t="shared" si="10"/>
        <v>270775.85237221816</v>
      </c>
      <c r="AD56" s="61">
        <f t="shared" si="41"/>
        <v>-65335</v>
      </c>
      <c r="AE56" s="50">
        <f t="shared" si="12"/>
        <v>0</v>
      </c>
      <c r="AH56" s="59">
        <f t="shared" si="34"/>
        <v>1</v>
      </c>
      <c r="AI56" s="50">
        <f t="shared" si="29"/>
        <v>84</v>
      </c>
      <c r="AJ56" s="60">
        <f t="shared" si="25"/>
        <v>0</v>
      </c>
      <c r="AK56" s="60">
        <f t="shared" si="48"/>
        <v>0</v>
      </c>
      <c r="AL56" s="61">
        <f t="shared" si="42"/>
        <v>0</v>
      </c>
      <c r="AM56" s="60">
        <f t="shared" si="43"/>
        <v>0</v>
      </c>
      <c r="AN56" s="60">
        <f t="shared" si="26"/>
        <v>0</v>
      </c>
      <c r="AO56" s="50">
        <f t="shared" si="15"/>
        <v>0</v>
      </c>
      <c r="AR56" s="59">
        <f t="shared" si="35"/>
        <v>1</v>
      </c>
      <c r="AS56" s="50">
        <f t="shared" si="30"/>
        <v>84</v>
      </c>
      <c r="AT56" s="60" t="e">
        <f t="shared" si="27"/>
        <v>#REF!</v>
      </c>
      <c r="AU56" s="60">
        <f t="shared" si="36"/>
        <v>0</v>
      </c>
      <c r="AV56" s="61" t="e">
        <f>IF(AX55=0,0,IF(AS56=$E$31,-#REF!*AR56,IF(AS56&lt;$E$31,0,IF(-AV55*AR56&gt;AX55,-AX55,AV55*AR56))))</f>
        <v>#REF!</v>
      </c>
      <c r="AW56" s="60" t="e">
        <f t="shared" si="44"/>
        <v>#REF!</v>
      </c>
      <c r="AX56" s="60" t="e">
        <f t="shared" si="17"/>
        <v>#REF!</v>
      </c>
      <c r="AY56" s="50" t="e">
        <f t="shared" si="18"/>
        <v>#REF!</v>
      </c>
      <c r="BB56" s="59">
        <f t="shared" si="37"/>
        <v>1</v>
      </c>
      <c r="BC56" s="50">
        <f t="shared" si="31"/>
        <v>84</v>
      </c>
      <c r="BD56" s="60">
        <f t="shared" si="28"/>
        <v>509640.51595164376</v>
      </c>
      <c r="BE56" s="60">
        <f t="shared" si="38"/>
        <v>0</v>
      </c>
      <c r="BF56" s="61">
        <f t="shared" si="45"/>
        <v>-65335</v>
      </c>
      <c r="BG56" s="60">
        <f t="shared" si="46"/>
        <v>31101.386116615067</v>
      </c>
      <c r="BH56" s="60">
        <f t="shared" si="21"/>
        <v>475406.90206825885</v>
      </c>
      <c r="BI56" s="50">
        <f t="shared" si="22"/>
        <v>0</v>
      </c>
    </row>
    <row r="57" spans="1:61" x14ac:dyDescent="0.2">
      <c r="B57" s="13"/>
      <c r="C57" s="13"/>
      <c r="D57" s="13"/>
      <c r="E57" s="17" t="str">
        <f>IF(E27&gt;E40,"Traditional 401k", "Roth 401k")</f>
        <v>Traditional 401k</v>
      </c>
      <c r="F57" s="13"/>
      <c r="G57" s="13"/>
      <c r="H57" s="13"/>
      <c r="I57" s="69"/>
      <c r="J57" s="69"/>
      <c r="K57" s="69"/>
      <c r="L57" s="6"/>
      <c r="M57" s="6"/>
      <c r="N57" s="6"/>
      <c r="Q57" s="59">
        <f t="shared" si="33"/>
        <v>1</v>
      </c>
      <c r="R57" s="59"/>
      <c r="S57" s="59"/>
      <c r="T57" s="59"/>
      <c r="U57" s="59"/>
      <c r="V57" s="59"/>
      <c r="W57" s="59"/>
      <c r="X57" s="50">
        <f t="shared" si="23"/>
        <v>85</v>
      </c>
      <c r="Y57" s="60">
        <f t="shared" si="24"/>
        <v>270775.85237221816</v>
      </c>
      <c r="Z57" s="60">
        <f t="shared" si="47"/>
        <v>0</v>
      </c>
      <c r="AA57" s="61">
        <f t="shared" si="39"/>
        <v>-70000</v>
      </c>
      <c r="AB57" s="60">
        <f t="shared" si="40"/>
        <v>14054.309666055273</v>
      </c>
      <c r="AC57" s="60">
        <f t="shared" si="10"/>
        <v>214830.16203827344</v>
      </c>
      <c r="AD57" s="61">
        <f t="shared" si="41"/>
        <v>-65335</v>
      </c>
      <c r="AE57" s="50">
        <f t="shared" si="12"/>
        <v>0</v>
      </c>
      <c r="AH57" s="59">
        <f t="shared" si="34"/>
        <v>1</v>
      </c>
      <c r="AI57" s="50">
        <f t="shared" si="29"/>
        <v>85</v>
      </c>
      <c r="AJ57" s="60">
        <f t="shared" si="25"/>
        <v>0</v>
      </c>
      <c r="AK57" s="60">
        <f t="shared" si="48"/>
        <v>0</v>
      </c>
      <c r="AL57" s="61">
        <f t="shared" si="42"/>
        <v>0</v>
      </c>
      <c r="AM57" s="60">
        <f t="shared" si="43"/>
        <v>0</v>
      </c>
      <c r="AN57" s="60">
        <f t="shared" si="26"/>
        <v>0</v>
      </c>
      <c r="AO57" s="50">
        <f t="shared" si="15"/>
        <v>0</v>
      </c>
      <c r="AR57" s="59">
        <f t="shared" si="35"/>
        <v>1</v>
      </c>
      <c r="AS57" s="50">
        <f t="shared" si="30"/>
        <v>85</v>
      </c>
      <c r="AT57" s="60" t="e">
        <f t="shared" si="27"/>
        <v>#REF!</v>
      </c>
      <c r="AU57" s="60">
        <f t="shared" si="36"/>
        <v>0</v>
      </c>
      <c r="AV57" s="61" t="e">
        <f>IF(AX56=0,0,IF(AS57=$E$31,-#REF!*AR57,IF(AS57&lt;$E$31,0,IF(-AV56*AR57&gt;AX56,-AX56,AV56*AR57))))</f>
        <v>#REF!</v>
      </c>
      <c r="AW57" s="60" t="e">
        <f t="shared" si="44"/>
        <v>#REF!</v>
      </c>
      <c r="AX57" s="60" t="e">
        <f t="shared" si="17"/>
        <v>#REF!</v>
      </c>
      <c r="AY57" s="50" t="e">
        <f t="shared" si="18"/>
        <v>#REF!</v>
      </c>
      <c r="BB57" s="59">
        <f t="shared" si="37"/>
        <v>1</v>
      </c>
      <c r="BC57" s="50">
        <f t="shared" si="31"/>
        <v>85</v>
      </c>
      <c r="BD57" s="60">
        <f t="shared" si="28"/>
        <v>475406.90206825885</v>
      </c>
      <c r="BE57" s="60">
        <f t="shared" si="38"/>
        <v>0</v>
      </c>
      <c r="BF57" s="61">
        <f t="shared" si="45"/>
        <v>-65335</v>
      </c>
      <c r="BG57" s="60">
        <f t="shared" si="46"/>
        <v>28705.033144778121</v>
      </c>
      <c r="BH57" s="60">
        <f t="shared" si="21"/>
        <v>438776.93521303695</v>
      </c>
      <c r="BI57" s="50">
        <f t="shared" si="22"/>
        <v>0</v>
      </c>
    </row>
    <row r="58" spans="1:61" x14ac:dyDescent="0.2">
      <c r="B58" s="13"/>
      <c r="C58" s="13"/>
      <c r="D58" s="13"/>
      <c r="E58" s="17"/>
      <c r="F58" s="13"/>
      <c r="G58" s="13"/>
      <c r="H58" s="13"/>
      <c r="I58" s="13"/>
      <c r="J58" s="13"/>
      <c r="K58" s="13"/>
      <c r="Q58" s="59">
        <f t="shared" si="33"/>
        <v>1</v>
      </c>
      <c r="R58" s="59"/>
      <c r="S58" s="59"/>
      <c r="T58" s="59"/>
      <c r="U58" s="59"/>
      <c r="V58" s="59"/>
      <c r="W58" s="59"/>
      <c r="X58" s="50">
        <f t="shared" si="23"/>
        <v>86</v>
      </c>
      <c r="Y58" s="60">
        <f t="shared" si="24"/>
        <v>214830.16203827344</v>
      </c>
      <c r="Z58" s="60">
        <f t="shared" si="47"/>
        <v>0</v>
      </c>
      <c r="AA58" s="61">
        <f t="shared" si="39"/>
        <v>-70000</v>
      </c>
      <c r="AB58" s="60">
        <f t="shared" si="40"/>
        <v>10138.111342679142</v>
      </c>
      <c r="AC58" s="60">
        <f t="shared" si="10"/>
        <v>154968.2733809526</v>
      </c>
      <c r="AD58" s="61">
        <f t="shared" si="41"/>
        <v>-65335</v>
      </c>
      <c r="AE58" s="50">
        <f t="shared" si="12"/>
        <v>0</v>
      </c>
      <c r="AH58" s="59">
        <f t="shared" si="34"/>
        <v>1</v>
      </c>
      <c r="AI58" s="50">
        <f t="shared" si="29"/>
        <v>86</v>
      </c>
      <c r="AJ58" s="60">
        <f t="shared" si="25"/>
        <v>0</v>
      </c>
      <c r="AK58" s="60">
        <f t="shared" si="48"/>
        <v>0</v>
      </c>
      <c r="AL58" s="61">
        <f t="shared" si="42"/>
        <v>0</v>
      </c>
      <c r="AM58" s="60">
        <f t="shared" si="43"/>
        <v>0</v>
      </c>
      <c r="AN58" s="60">
        <f t="shared" si="26"/>
        <v>0</v>
      </c>
      <c r="AO58" s="50">
        <f t="shared" si="15"/>
        <v>0</v>
      </c>
      <c r="AR58" s="59">
        <f t="shared" si="35"/>
        <v>1</v>
      </c>
      <c r="AS58" s="50">
        <f t="shared" si="30"/>
        <v>86</v>
      </c>
      <c r="AT58" s="60" t="e">
        <f t="shared" si="27"/>
        <v>#REF!</v>
      </c>
      <c r="AU58" s="60">
        <f t="shared" si="36"/>
        <v>0</v>
      </c>
      <c r="AV58" s="61" t="e">
        <f>IF(AX57=0,0,IF(AS58=$E$31,-#REF!*AR58,IF(AS58&lt;$E$31,0,IF(-AV57*AR58&gt;AX57,-AX57,AV57*AR58))))</f>
        <v>#REF!</v>
      </c>
      <c r="AW58" s="60" t="e">
        <f t="shared" si="44"/>
        <v>#REF!</v>
      </c>
      <c r="AX58" s="60" t="e">
        <f t="shared" si="17"/>
        <v>#REF!</v>
      </c>
      <c r="AY58" s="50" t="e">
        <f t="shared" si="18"/>
        <v>#REF!</v>
      </c>
      <c r="BB58" s="59">
        <f t="shared" si="37"/>
        <v>1</v>
      </c>
      <c r="BC58" s="50">
        <f t="shared" si="31"/>
        <v>86</v>
      </c>
      <c r="BD58" s="60">
        <f t="shared" si="28"/>
        <v>438776.93521303695</v>
      </c>
      <c r="BE58" s="60">
        <f t="shared" si="38"/>
        <v>0</v>
      </c>
      <c r="BF58" s="61">
        <f t="shared" si="45"/>
        <v>-65335</v>
      </c>
      <c r="BG58" s="60">
        <f t="shared" si="46"/>
        <v>26140.935464912589</v>
      </c>
      <c r="BH58" s="60">
        <f t="shared" si="21"/>
        <v>399582.87067794951</v>
      </c>
      <c r="BI58" s="50">
        <f t="shared" si="22"/>
        <v>0</v>
      </c>
    </row>
    <row r="59" spans="1:61" x14ac:dyDescent="0.2">
      <c r="B59" s="62"/>
      <c r="C59" s="62"/>
      <c r="D59" s="64"/>
      <c r="E59" s="65"/>
      <c r="F59" s="65"/>
      <c r="G59" s="65"/>
      <c r="H59" s="65"/>
      <c r="I59" s="62"/>
      <c r="J59" s="62"/>
      <c r="K59" s="62"/>
      <c r="Q59" s="59">
        <f t="shared" si="33"/>
        <v>1</v>
      </c>
      <c r="R59" s="59"/>
      <c r="S59" s="59"/>
      <c r="T59" s="59"/>
      <c r="U59" s="59"/>
      <c r="V59" s="59"/>
      <c r="W59" s="59"/>
      <c r="X59" s="50">
        <f t="shared" si="23"/>
        <v>87</v>
      </c>
      <c r="Y59" s="60">
        <f t="shared" si="24"/>
        <v>154968.2733809526</v>
      </c>
      <c r="Z59" s="60">
        <f t="shared" si="47"/>
        <v>0</v>
      </c>
      <c r="AA59" s="61">
        <f t="shared" si="39"/>
        <v>-70000</v>
      </c>
      <c r="AB59" s="60">
        <f t="shared" si="40"/>
        <v>5947.7791366666825</v>
      </c>
      <c r="AC59" s="60">
        <f t="shared" si="10"/>
        <v>90916.052517619275</v>
      </c>
      <c r="AD59" s="61">
        <f t="shared" si="41"/>
        <v>-65335</v>
      </c>
      <c r="AE59" s="50">
        <f t="shared" si="12"/>
        <v>0</v>
      </c>
      <c r="AH59" s="59">
        <f t="shared" si="34"/>
        <v>1</v>
      </c>
      <c r="AI59" s="50">
        <f t="shared" si="29"/>
        <v>87</v>
      </c>
      <c r="AJ59" s="60">
        <f t="shared" si="25"/>
        <v>0</v>
      </c>
      <c r="AK59" s="60">
        <f t="shared" si="48"/>
        <v>0</v>
      </c>
      <c r="AL59" s="61">
        <f t="shared" si="42"/>
        <v>0</v>
      </c>
      <c r="AM59" s="60">
        <f t="shared" si="43"/>
        <v>0</v>
      </c>
      <c r="AN59" s="60">
        <f t="shared" si="26"/>
        <v>0</v>
      </c>
      <c r="AO59" s="50">
        <f t="shared" si="15"/>
        <v>0</v>
      </c>
      <c r="AR59" s="59">
        <f t="shared" si="35"/>
        <v>1</v>
      </c>
      <c r="AS59" s="50">
        <f t="shared" si="30"/>
        <v>87</v>
      </c>
      <c r="AT59" s="60" t="e">
        <f t="shared" si="27"/>
        <v>#REF!</v>
      </c>
      <c r="AU59" s="60">
        <f t="shared" si="36"/>
        <v>0</v>
      </c>
      <c r="AV59" s="61" t="e">
        <f>IF(AX58=0,0,IF(AS59=$E$31,-#REF!*AR59,IF(AS59&lt;$E$31,0,IF(-AV58*AR59&gt;AX58,-AX58,AV58*AR59))))</f>
        <v>#REF!</v>
      </c>
      <c r="AW59" s="60" t="e">
        <f t="shared" si="44"/>
        <v>#REF!</v>
      </c>
      <c r="AX59" s="60" t="e">
        <f t="shared" si="17"/>
        <v>#REF!</v>
      </c>
      <c r="AY59" s="50" t="e">
        <f t="shared" si="18"/>
        <v>#REF!</v>
      </c>
      <c r="BB59" s="59">
        <f t="shared" si="37"/>
        <v>1</v>
      </c>
      <c r="BC59" s="50">
        <f t="shared" si="31"/>
        <v>87</v>
      </c>
      <c r="BD59" s="60">
        <f t="shared" si="28"/>
        <v>399582.87067794951</v>
      </c>
      <c r="BE59" s="60">
        <f t="shared" si="38"/>
        <v>0</v>
      </c>
      <c r="BF59" s="61">
        <f t="shared" si="45"/>
        <v>-65335</v>
      </c>
      <c r="BG59" s="60">
        <f t="shared" si="46"/>
        <v>23397.350947456467</v>
      </c>
      <c r="BH59" s="60">
        <f t="shared" si="21"/>
        <v>357645.221625406</v>
      </c>
      <c r="BI59" s="50">
        <f t="shared" si="22"/>
        <v>0</v>
      </c>
    </row>
    <row r="60" spans="1:61" x14ac:dyDescent="0.2">
      <c r="E60" s="13" t="str">
        <f>IF(E4&gt;I32,"Traditional", "Roth")</f>
        <v>Roth</v>
      </c>
      <c r="Q60" s="59">
        <f t="shared" si="33"/>
        <v>1</v>
      </c>
      <c r="R60" s="59"/>
      <c r="S60" s="59"/>
      <c r="T60" s="59"/>
      <c r="U60" s="59"/>
      <c r="V60" s="59"/>
      <c r="W60" s="59"/>
      <c r="X60" s="50">
        <f t="shared" si="23"/>
        <v>88</v>
      </c>
      <c r="Y60" s="60">
        <f t="shared" si="24"/>
        <v>90916.052517619275</v>
      </c>
      <c r="Z60" s="60">
        <f t="shared" si="47"/>
        <v>0</v>
      </c>
      <c r="AA60" s="61">
        <f t="shared" si="39"/>
        <v>-70000</v>
      </c>
      <c r="AB60" s="60">
        <f t="shared" si="40"/>
        <v>1464.1236762333494</v>
      </c>
      <c r="AC60" s="60">
        <f t="shared" si="10"/>
        <v>22380.176193852625</v>
      </c>
      <c r="AD60" s="61">
        <f t="shared" si="41"/>
        <v>-65335</v>
      </c>
      <c r="AE60" s="50">
        <f t="shared" si="12"/>
        <v>0</v>
      </c>
      <c r="AH60" s="59">
        <f t="shared" si="34"/>
        <v>1</v>
      </c>
      <c r="AI60" s="50">
        <f t="shared" si="29"/>
        <v>88</v>
      </c>
      <c r="AJ60" s="60">
        <f t="shared" si="25"/>
        <v>0</v>
      </c>
      <c r="AK60" s="60">
        <f t="shared" si="48"/>
        <v>0</v>
      </c>
      <c r="AL60" s="61">
        <f t="shared" si="42"/>
        <v>0</v>
      </c>
      <c r="AM60" s="60">
        <f t="shared" si="43"/>
        <v>0</v>
      </c>
      <c r="AN60" s="60">
        <f t="shared" si="26"/>
        <v>0</v>
      </c>
      <c r="AO60" s="50">
        <f t="shared" si="15"/>
        <v>0</v>
      </c>
      <c r="AR60" s="59">
        <f t="shared" si="35"/>
        <v>1</v>
      </c>
      <c r="AS60" s="50">
        <f t="shared" si="30"/>
        <v>88</v>
      </c>
      <c r="AT60" s="60" t="e">
        <f t="shared" si="27"/>
        <v>#REF!</v>
      </c>
      <c r="AU60" s="60">
        <f t="shared" si="36"/>
        <v>0</v>
      </c>
      <c r="AV60" s="61" t="e">
        <f>IF(AX59=0,0,IF(AS60=$E$31,-#REF!*AR60,IF(AS60&lt;$E$31,0,IF(-AV59*AR60&gt;AX59,-AX59,AV59*AR60))))</f>
        <v>#REF!</v>
      </c>
      <c r="AW60" s="60" t="e">
        <f t="shared" si="44"/>
        <v>#REF!</v>
      </c>
      <c r="AX60" s="60" t="e">
        <f t="shared" si="17"/>
        <v>#REF!</v>
      </c>
      <c r="AY60" s="50" t="e">
        <f t="shared" si="18"/>
        <v>#REF!</v>
      </c>
      <c r="BB60" s="59">
        <f t="shared" si="37"/>
        <v>1</v>
      </c>
      <c r="BC60" s="50">
        <f t="shared" si="31"/>
        <v>88</v>
      </c>
      <c r="BD60" s="60">
        <f t="shared" si="28"/>
        <v>357645.221625406</v>
      </c>
      <c r="BE60" s="60">
        <f t="shared" si="38"/>
        <v>0</v>
      </c>
      <c r="BF60" s="61">
        <f t="shared" si="45"/>
        <v>-65335</v>
      </c>
      <c r="BG60" s="60">
        <f t="shared" si="46"/>
        <v>20461.715513778421</v>
      </c>
      <c r="BH60" s="60">
        <f t="shared" si="21"/>
        <v>312771.93713918445</v>
      </c>
      <c r="BI60" s="50">
        <f t="shared" si="22"/>
        <v>0</v>
      </c>
    </row>
    <row r="61" spans="1:61" x14ac:dyDescent="0.2">
      <c r="A61" s="13"/>
      <c r="B61" s="13"/>
      <c r="C61" s="13"/>
      <c r="D61" s="13"/>
      <c r="E61" s="17"/>
      <c r="F61" s="13"/>
      <c r="G61" s="13"/>
      <c r="H61" s="13"/>
      <c r="I61" s="13"/>
      <c r="Q61" s="59">
        <f t="shared" si="33"/>
        <v>1</v>
      </c>
      <c r="R61" s="59"/>
      <c r="S61" s="59"/>
      <c r="T61" s="59"/>
      <c r="U61" s="59"/>
      <c r="V61" s="59"/>
      <c r="W61" s="59"/>
      <c r="X61" s="50">
        <f t="shared" si="23"/>
        <v>89</v>
      </c>
      <c r="Y61" s="60">
        <f t="shared" si="24"/>
        <v>22380.176193852625</v>
      </c>
      <c r="Z61" s="60">
        <f t="shared" si="47"/>
        <v>0</v>
      </c>
      <c r="AA61" s="61">
        <f t="shared" si="39"/>
        <v>-22380.176193852625</v>
      </c>
      <c r="AB61" s="60">
        <f t="shared" si="40"/>
        <v>0</v>
      </c>
      <c r="AC61" s="60">
        <f t="shared" si="10"/>
        <v>0</v>
      </c>
      <c r="AD61" s="61">
        <f t="shared" si="41"/>
        <v>-20888.69730893373</v>
      </c>
      <c r="AE61" s="50">
        <f t="shared" si="12"/>
        <v>0</v>
      </c>
      <c r="AH61" s="59">
        <f t="shared" si="34"/>
        <v>1</v>
      </c>
      <c r="AI61" s="50">
        <f t="shared" si="29"/>
        <v>89</v>
      </c>
      <c r="AJ61" s="60">
        <f t="shared" si="25"/>
        <v>0</v>
      </c>
      <c r="AK61" s="60">
        <f t="shared" si="48"/>
        <v>0</v>
      </c>
      <c r="AL61" s="61">
        <f t="shared" si="42"/>
        <v>0</v>
      </c>
      <c r="AM61" s="60">
        <f t="shared" si="43"/>
        <v>0</v>
      </c>
      <c r="AN61" s="60">
        <f t="shared" si="26"/>
        <v>0</v>
      </c>
      <c r="AO61" s="50">
        <f t="shared" si="15"/>
        <v>0</v>
      </c>
      <c r="AR61" s="59">
        <f t="shared" si="35"/>
        <v>1</v>
      </c>
      <c r="AS61" s="50">
        <f t="shared" si="30"/>
        <v>89</v>
      </c>
      <c r="AT61" s="60" t="e">
        <f t="shared" si="27"/>
        <v>#REF!</v>
      </c>
      <c r="AU61" s="60">
        <f t="shared" si="36"/>
        <v>0</v>
      </c>
      <c r="AV61" s="61" t="e">
        <f>IF(AX60=0,0,IF(AS61=$E$31,-#REF!*AR61,IF(AS61&lt;$E$31,0,IF(-AV60*AR61&gt;AX60,-AX60,AV60*AR61))))</f>
        <v>#REF!</v>
      </c>
      <c r="AW61" s="60" t="e">
        <f t="shared" si="44"/>
        <v>#REF!</v>
      </c>
      <c r="AX61" s="60" t="e">
        <f t="shared" si="17"/>
        <v>#REF!</v>
      </c>
      <c r="AY61" s="50" t="e">
        <f t="shared" si="18"/>
        <v>#REF!</v>
      </c>
      <c r="BB61" s="59">
        <f t="shared" si="37"/>
        <v>1</v>
      </c>
      <c r="BC61" s="50">
        <f t="shared" si="31"/>
        <v>89</v>
      </c>
      <c r="BD61" s="60">
        <f t="shared" si="28"/>
        <v>312771.93713918445</v>
      </c>
      <c r="BE61" s="60">
        <f t="shared" si="38"/>
        <v>0</v>
      </c>
      <c r="BF61" s="61">
        <f t="shared" si="45"/>
        <v>-65335</v>
      </c>
      <c r="BG61" s="60">
        <f t="shared" si="46"/>
        <v>17320.585599742913</v>
      </c>
      <c r="BH61" s="60">
        <f t="shared" si="21"/>
        <v>264757.52273892734</v>
      </c>
      <c r="BI61" s="50">
        <f t="shared" si="22"/>
        <v>0</v>
      </c>
    </row>
    <row r="62" spans="1:61" x14ac:dyDescent="0.2">
      <c r="A62" s="13"/>
      <c r="B62" s="13"/>
      <c r="C62" s="13"/>
      <c r="D62" s="13"/>
      <c r="E62" s="17"/>
      <c r="F62" s="13"/>
      <c r="G62" s="13"/>
      <c r="H62" s="13"/>
      <c r="I62" s="13"/>
      <c r="P62" s="51"/>
      <c r="Q62" s="59">
        <f t="shared" si="33"/>
        <v>1</v>
      </c>
      <c r="R62" s="59"/>
      <c r="S62" s="59"/>
      <c r="T62" s="59"/>
      <c r="U62" s="59"/>
      <c r="V62" s="59"/>
      <c r="W62" s="59"/>
      <c r="X62" s="50">
        <f t="shared" si="23"/>
        <v>90</v>
      </c>
      <c r="Y62" s="60">
        <f t="shared" si="24"/>
        <v>0</v>
      </c>
      <c r="Z62" s="60">
        <f t="shared" si="47"/>
        <v>0</v>
      </c>
      <c r="AA62" s="61">
        <f t="shared" si="39"/>
        <v>0</v>
      </c>
      <c r="AB62" s="60">
        <f t="shared" si="40"/>
        <v>0</v>
      </c>
      <c r="AC62" s="60">
        <f t="shared" si="10"/>
        <v>0</v>
      </c>
      <c r="AD62" s="61">
        <f t="shared" si="41"/>
        <v>0</v>
      </c>
      <c r="AE62" s="50">
        <f t="shared" si="12"/>
        <v>0</v>
      </c>
      <c r="AH62" s="59">
        <f t="shared" si="34"/>
        <v>1</v>
      </c>
      <c r="AI62" s="50">
        <f t="shared" si="29"/>
        <v>90</v>
      </c>
      <c r="AJ62" s="60">
        <f t="shared" si="25"/>
        <v>0</v>
      </c>
      <c r="AK62" s="60">
        <f t="shared" si="48"/>
        <v>0</v>
      </c>
      <c r="AL62" s="61">
        <f t="shared" si="42"/>
        <v>0</v>
      </c>
      <c r="AM62" s="60">
        <f t="shared" si="43"/>
        <v>0</v>
      </c>
      <c r="AN62" s="60">
        <f t="shared" si="26"/>
        <v>0</v>
      </c>
      <c r="AO62" s="50">
        <f t="shared" si="15"/>
        <v>0</v>
      </c>
      <c r="AR62" s="59">
        <f t="shared" si="35"/>
        <v>1</v>
      </c>
      <c r="AS62" s="50">
        <f t="shared" si="30"/>
        <v>90</v>
      </c>
      <c r="AT62" s="60" t="e">
        <f t="shared" si="27"/>
        <v>#REF!</v>
      </c>
      <c r="AU62" s="60">
        <f t="shared" si="36"/>
        <v>0</v>
      </c>
      <c r="AV62" s="61" t="e">
        <f>IF(AX61=0,0,IF(AS62=$E$31,-#REF!*AR62,IF(AS62&lt;$E$31,0,IF(-AV61*AR62&gt;AX61,-AX61,AV61*AR62))))</f>
        <v>#REF!</v>
      </c>
      <c r="AW62" s="60" t="e">
        <f t="shared" si="44"/>
        <v>#REF!</v>
      </c>
      <c r="AX62" s="60" t="e">
        <f t="shared" si="17"/>
        <v>#REF!</v>
      </c>
      <c r="AY62" s="50" t="e">
        <f t="shared" si="18"/>
        <v>#REF!</v>
      </c>
      <c r="BB62" s="59">
        <f t="shared" si="37"/>
        <v>1</v>
      </c>
      <c r="BC62" s="50">
        <f t="shared" si="31"/>
        <v>90</v>
      </c>
      <c r="BD62" s="60">
        <f t="shared" si="28"/>
        <v>264757.52273892734</v>
      </c>
      <c r="BE62" s="60">
        <f t="shared" si="38"/>
        <v>0</v>
      </c>
      <c r="BF62" s="61">
        <f t="shared" si="45"/>
        <v>-65335</v>
      </c>
      <c r="BG62" s="60">
        <f t="shared" si="46"/>
        <v>13959.576591724915</v>
      </c>
      <c r="BH62" s="60">
        <f t="shared" si="21"/>
        <v>213382.09933065224</v>
      </c>
      <c r="BI62" s="50">
        <f t="shared" si="22"/>
        <v>0</v>
      </c>
    </row>
    <row r="63" spans="1:61" x14ac:dyDescent="0.2">
      <c r="A63" s="13"/>
      <c r="B63" s="13"/>
      <c r="C63" s="13"/>
      <c r="D63" s="13"/>
      <c r="E63" s="17"/>
      <c r="F63" s="13"/>
      <c r="G63" s="13"/>
      <c r="H63" s="13"/>
      <c r="I63" s="13"/>
      <c r="O63" s="9"/>
      <c r="P63" s="52"/>
      <c r="Q63" s="59">
        <f t="shared" si="33"/>
        <v>1</v>
      </c>
      <c r="R63" s="59"/>
      <c r="S63" s="59"/>
      <c r="T63" s="59"/>
      <c r="U63" s="59"/>
      <c r="V63" s="59"/>
      <c r="W63" s="59"/>
      <c r="X63" s="50">
        <f t="shared" si="23"/>
        <v>91</v>
      </c>
      <c r="Y63" s="60">
        <f t="shared" si="24"/>
        <v>0</v>
      </c>
      <c r="Z63" s="60">
        <f t="shared" si="47"/>
        <v>0</v>
      </c>
      <c r="AA63" s="61">
        <f t="shared" si="39"/>
        <v>0</v>
      </c>
      <c r="AB63" s="60">
        <f t="shared" si="40"/>
        <v>0</v>
      </c>
      <c r="AC63" s="60">
        <f t="shared" si="10"/>
        <v>0</v>
      </c>
      <c r="AD63" s="61">
        <f t="shared" si="41"/>
        <v>0</v>
      </c>
      <c r="AE63" s="50">
        <f t="shared" si="12"/>
        <v>0</v>
      </c>
      <c r="AH63" s="59">
        <f t="shared" si="34"/>
        <v>1</v>
      </c>
      <c r="AI63" s="50">
        <f t="shared" si="29"/>
        <v>91</v>
      </c>
      <c r="AJ63" s="60">
        <f t="shared" si="25"/>
        <v>0</v>
      </c>
      <c r="AK63" s="60">
        <f t="shared" si="48"/>
        <v>0</v>
      </c>
      <c r="AL63" s="61">
        <f t="shared" si="42"/>
        <v>0</v>
      </c>
      <c r="AM63" s="60">
        <f t="shared" si="43"/>
        <v>0</v>
      </c>
      <c r="AN63" s="60">
        <f t="shared" si="26"/>
        <v>0</v>
      </c>
      <c r="AO63" s="50">
        <f t="shared" si="15"/>
        <v>0</v>
      </c>
      <c r="AR63" s="59">
        <f t="shared" si="35"/>
        <v>1</v>
      </c>
      <c r="AS63" s="50">
        <f t="shared" si="30"/>
        <v>91</v>
      </c>
      <c r="AT63" s="60" t="e">
        <f t="shared" si="27"/>
        <v>#REF!</v>
      </c>
      <c r="AU63" s="60">
        <f t="shared" si="36"/>
        <v>0</v>
      </c>
      <c r="AV63" s="61" t="e">
        <f>IF(AX62=0,0,IF(AS63=$E$31,-#REF!*AR63,IF(AS63&lt;$E$31,0,IF(-AV62*AR63&gt;AX62,-AX62,AV62*AR63))))</f>
        <v>#REF!</v>
      </c>
      <c r="AW63" s="60" t="e">
        <f t="shared" si="44"/>
        <v>#REF!</v>
      </c>
      <c r="AX63" s="60" t="e">
        <f t="shared" si="17"/>
        <v>#REF!</v>
      </c>
      <c r="AY63" s="50" t="e">
        <f t="shared" si="18"/>
        <v>#REF!</v>
      </c>
      <c r="BB63" s="59">
        <f t="shared" si="37"/>
        <v>1</v>
      </c>
      <c r="BC63" s="50">
        <f t="shared" si="31"/>
        <v>91</v>
      </c>
      <c r="BD63" s="60">
        <f t="shared" si="28"/>
        <v>213382.09933065224</v>
      </c>
      <c r="BE63" s="60">
        <f t="shared" si="38"/>
        <v>0</v>
      </c>
      <c r="BF63" s="61">
        <f t="shared" si="45"/>
        <v>-65335</v>
      </c>
      <c r="BG63" s="60">
        <f t="shared" si="46"/>
        <v>10363.296953145658</v>
      </c>
      <c r="BH63" s="60">
        <f t="shared" si="21"/>
        <v>158410.39628379789</v>
      </c>
      <c r="BI63" s="50">
        <f t="shared" si="22"/>
        <v>0</v>
      </c>
    </row>
    <row r="64" spans="1:61" x14ac:dyDescent="0.2">
      <c r="A64" s="13"/>
      <c r="B64" s="13"/>
      <c r="C64" s="13"/>
      <c r="D64" s="13"/>
      <c r="E64" s="17"/>
      <c r="F64" s="13"/>
      <c r="G64" s="13"/>
      <c r="H64" s="13"/>
      <c r="I64" s="13"/>
      <c r="K64" s="9"/>
      <c r="L64" s="9"/>
      <c r="M64" s="9"/>
      <c r="N64" s="9"/>
      <c r="O64" s="2"/>
      <c r="P64" s="53"/>
      <c r="Q64" s="59">
        <f t="shared" si="33"/>
        <v>1</v>
      </c>
      <c r="R64" s="59"/>
      <c r="S64" s="59"/>
      <c r="T64" s="59"/>
      <c r="U64" s="59"/>
      <c r="V64" s="59"/>
      <c r="W64" s="59"/>
      <c r="X64" s="50">
        <f t="shared" si="23"/>
        <v>92</v>
      </c>
      <c r="Y64" s="60">
        <f t="shared" si="24"/>
        <v>0</v>
      </c>
      <c r="Z64" s="60">
        <f t="shared" si="47"/>
        <v>0</v>
      </c>
      <c r="AA64" s="61">
        <f t="shared" si="39"/>
        <v>0</v>
      </c>
      <c r="AB64" s="60">
        <f t="shared" si="40"/>
        <v>0</v>
      </c>
      <c r="AC64" s="60">
        <f t="shared" si="10"/>
        <v>0</v>
      </c>
      <c r="AD64" s="61">
        <f t="shared" si="41"/>
        <v>0</v>
      </c>
      <c r="AE64" s="50">
        <f t="shared" si="12"/>
        <v>0</v>
      </c>
      <c r="AH64" s="59">
        <f t="shared" si="34"/>
        <v>1</v>
      </c>
      <c r="AI64" s="50">
        <f t="shared" si="29"/>
        <v>92</v>
      </c>
      <c r="AJ64" s="60">
        <f t="shared" si="25"/>
        <v>0</v>
      </c>
      <c r="AK64" s="60">
        <f t="shared" si="48"/>
        <v>0</v>
      </c>
      <c r="AL64" s="61">
        <f t="shared" si="42"/>
        <v>0</v>
      </c>
      <c r="AM64" s="60">
        <f t="shared" si="43"/>
        <v>0</v>
      </c>
      <c r="AN64" s="60">
        <f t="shared" si="26"/>
        <v>0</v>
      </c>
      <c r="AO64" s="50">
        <f t="shared" si="15"/>
        <v>0</v>
      </c>
      <c r="AR64" s="59">
        <f t="shared" si="35"/>
        <v>1</v>
      </c>
      <c r="AS64" s="50">
        <f t="shared" si="30"/>
        <v>92</v>
      </c>
      <c r="AT64" s="60" t="e">
        <f t="shared" si="27"/>
        <v>#REF!</v>
      </c>
      <c r="AU64" s="60">
        <f t="shared" si="36"/>
        <v>0</v>
      </c>
      <c r="AV64" s="61" t="e">
        <f>IF(AX63=0,0,IF(AS64=$E$31,-#REF!*AR64,IF(AS64&lt;$E$31,0,IF(-AV63*AR64&gt;AX63,-AX63,AV63*AR64))))</f>
        <v>#REF!</v>
      </c>
      <c r="AW64" s="60" t="e">
        <f t="shared" si="44"/>
        <v>#REF!</v>
      </c>
      <c r="AX64" s="60" t="e">
        <f t="shared" si="17"/>
        <v>#REF!</v>
      </c>
      <c r="AY64" s="50" t="e">
        <f t="shared" si="18"/>
        <v>#REF!</v>
      </c>
      <c r="BB64" s="59">
        <f t="shared" si="37"/>
        <v>1</v>
      </c>
      <c r="BC64" s="50">
        <f t="shared" si="31"/>
        <v>92</v>
      </c>
      <c r="BD64" s="60">
        <f t="shared" si="28"/>
        <v>158410.39628379789</v>
      </c>
      <c r="BE64" s="60">
        <f t="shared" si="38"/>
        <v>0</v>
      </c>
      <c r="BF64" s="61">
        <f t="shared" si="45"/>
        <v>-65335</v>
      </c>
      <c r="BG64" s="60">
        <f t="shared" si="46"/>
        <v>6515.2777398658527</v>
      </c>
      <c r="BH64" s="60">
        <f t="shared" si="21"/>
        <v>99590.674023663742</v>
      </c>
      <c r="BI64" s="50">
        <f t="shared" si="22"/>
        <v>0</v>
      </c>
    </row>
    <row r="65" spans="1:61" x14ac:dyDescent="0.2">
      <c r="A65" s="13"/>
      <c r="B65" s="13"/>
      <c r="C65" s="13"/>
      <c r="D65" s="13"/>
      <c r="E65" s="17"/>
      <c r="F65" s="13"/>
      <c r="G65" s="13"/>
      <c r="H65" s="13"/>
      <c r="I65" s="13"/>
      <c r="K65" s="2"/>
      <c r="L65" s="2"/>
      <c r="M65" s="2"/>
      <c r="N65" s="2"/>
      <c r="O65" s="4"/>
      <c r="P65" s="53"/>
      <c r="Q65" s="59">
        <f t="shared" si="33"/>
        <v>1</v>
      </c>
      <c r="R65" s="59"/>
      <c r="S65" s="59"/>
      <c r="T65" s="59"/>
      <c r="U65" s="59"/>
      <c r="V65" s="59"/>
      <c r="W65" s="59"/>
      <c r="X65" s="50">
        <f t="shared" si="23"/>
        <v>93</v>
      </c>
      <c r="Y65" s="60">
        <f t="shared" si="24"/>
        <v>0</v>
      </c>
      <c r="Z65" s="60">
        <f t="shared" si="47"/>
        <v>0</v>
      </c>
      <c r="AA65" s="61">
        <f t="shared" si="39"/>
        <v>0</v>
      </c>
      <c r="AB65" s="60">
        <f t="shared" si="40"/>
        <v>0</v>
      </c>
      <c r="AC65" s="60">
        <f t="shared" si="10"/>
        <v>0</v>
      </c>
      <c r="AD65" s="61">
        <f t="shared" si="41"/>
        <v>0</v>
      </c>
      <c r="AE65" s="50">
        <f t="shared" si="12"/>
        <v>0</v>
      </c>
      <c r="AH65" s="59">
        <f t="shared" si="34"/>
        <v>1</v>
      </c>
      <c r="AI65" s="50">
        <f t="shared" si="29"/>
        <v>93</v>
      </c>
      <c r="AJ65" s="60">
        <f t="shared" si="25"/>
        <v>0</v>
      </c>
      <c r="AK65" s="60">
        <f t="shared" si="48"/>
        <v>0</v>
      </c>
      <c r="AL65" s="61">
        <f t="shared" si="42"/>
        <v>0</v>
      </c>
      <c r="AM65" s="60">
        <f t="shared" si="43"/>
        <v>0</v>
      </c>
      <c r="AN65" s="60">
        <f t="shared" si="26"/>
        <v>0</v>
      </c>
      <c r="AO65" s="50">
        <f t="shared" si="15"/>
        <v>0</v>
      </c>
      <c r="AR65" s="59">
        <f t="shared" si="35"/>
        <v>1</v>
      </c>
      <c r="AS65" s="50">
        <f t="shared" si="30"/>
        <v>93</v>
      </c>
      <c r="AT65" s="60" t="e">
        <f t="shared" si="27"/>
        <v>#REF!</v>
      </c>
      <c r="AU65" s="60">
        <f t="shared" si="36"/>
        <v>0</v>
      </c>
      <c r="AV65" s="61" t="e">
        <f>IF(AX64=0,0,IF(AS65=$E$31,-#REF!*AR65,IF(AS65&lt;$E$31,0,IF(-AV64*AR65&gt;AX64,-AX64,AV64*AR65))))</f>
        <v>#REF!</v>
      </c>
      <c r="AW65" s="60" t="e">
        <f t="shared" si="44"/>
        <v>#REF!</v>
      </c>
      <c r="AX65" s="60" t="e">
        <f t="shared" si="17"/>
        <v>#REF!</v>
      </c>
      <c r="AY65" s="50" t="e">
        <f t="shared" si="18"/>
        <v>#REF!</v>
      </c>
      <c r="BB65" s="59">
        <f t="shared" si="37"/>
        <v>1</v>
      </c>
      <c r="BC65" s="50">
        <f t="shared" si="31"/>
        <v>93</v>
      </c>
      <c r="BD65" s="60">
        <f t="shared" si="28"/>
        <v>99590.674023663742</v>
      </c>
      <c r="BE65" s="60">
        <f t="shared" si="38"/>
        <v>0</v>
      </c>
      <c r="BF65" s="61">
        <f t="shared" si="45"/>
        <v>-65335</v>
      </c>
      <c r="BG65" s="60">
        <f t="shared" si="46"/>
        <v>2397.8971816564622</v>
      </c>
      <c r="BH65" s="60">
        <f t="shared" si="21"/>
        <v>36653.571205320201</v>
      </c>
      <c r="BI65" s="50">
        <f t="shared" si="22"/>
        <v>0</v>
      </c>
    </row>
    <row r="66" spans="1:61" x14ac:dyDescent="0.2">
      <c r="A66" s="13"/>
      <c r="B66" s="13"/>
      <c r="C66" s="13"/>
      <c r="D66" s="13"/>
      <c r="E66" s="17"/>
      <c r="F66" s="13"/>
      <c r="G66" s="13"/>
      <c r="H66" s="13"/>
      <c r="I66" s="13"/>
      <c r="K66" s="4"/>
      <c r="L66" s="4"/>
      <c r="M66" s="4"/>
      <c r="N66" s="4"/>
      <c r="O66" s="4"/>
      <c r="P66" s="53"/>
      <c r="Q66" s="59">
        <f t="shared" si="33"/>
        <v>1</v>
      </c>
      <c r="R66" s="59"/>
      <c r="S66" s="59"/>
      <c r="T66" s="59"/>
      <c r="U66" s="59"/>
      <c r="V66" s="59"/>
      <c r="W66" s="59"/>
      <c r="X66" s="50">
        <f t="shared" si="23"/>
        <v>94</v>
      </c>
      <c r="Y66" s="60">
        <f t="shared" si="24"/>
        <v>0</v>
      </c>
      <c r="Z66" s="60">
        <f t="shared" si="47"/>
        <v>0</v>
      </c>
      <c r="AA66" s="61">
        <f t="shared" si="39"/>
        <v>0</v>
      </c>
      <c r="AB66" s="60">
        <f t="shared" si="40"/>
        <v>0</v>
      </c>
      <c r="AC66" s="60">
        <f t="shared" si="10"/>
        <v>0</v>
      </c>
      <c r="AD66" s="61">
        <f t="shared" si="41"/>
        <v>0</v>
      </c>
      <c r="AE66" s="50">
        <f t="shared" si="12"/>
        <v>0</v>
      </c>
      <c r="AH66" s="59">
        <f t="shared" si="34"/>
        <v>1</v>
      </c>
      <c r="AI66" s="50">
        <f t="shared" si="29"/>
        <v>94</v>
      </c>
      <c r="AJ66" s="60">
        <f t="shared" si="25"/>
        <v>0</v>
      </c>
      <c r="AK66" s="60">
        <f t="shared" si="48"/>
        <v>0</v>
      </c>
      <c r="AL66" s="61">
        <f t="shared" si="42"/>
        <v>0</v>
      </c>
      <c r="AM66" s="60">
        <f t="shared" si="43"/>
        <v>0</v>
      </c>
      <c r="AN66" s="60">
        <f t="shared" si="26"/>
        <v>0</v>
      </c>
      <c r="AO66" s="50">
        <f t="shared" si="15"/>
        <v>0</v>
      </c>
      <c r="AR66" s="59">
        <f t="shared" si="35"/>
        <v>1</v>
      </c>
      <c r="AS66" s="50">
        <f t="shared" si="30"/>
        <v>94</v>
      </c>
      <c r="AT66" s="60" t="e">
        <f t="shared" si="27"/>
        <v>#REF!</v>
      </c>
      <c r="AU66" s="60">
        <f t="shared" si="36"/>
        <v>0</v>
      </c>
      <c r="AV66" s="61" t="e">
        <f>IF(AX65=0,0,IF(AS66=$E$31,-#REF!*AR66,IF(AS66&lt;$E$31,0,IF(-AV65*AR66&gt;AX65,-AX65,AV65*AR66))))</f>
        <v>#REF!</v>
      </c>
      <c r="AW66" s="60" t="e">
        <f t="shared" si="44"/>
        <v>#REF!</v>
      </c>
      <c r="AX66" s="60" t="e">
        <f t="shared" si="17"/>
        <v>#REF!</v>
      </c>
      <c r="AY66" s="50" t="e">
        <f t="shared" si="18"/>
        <v>#REF!</v>
      </c>
      <c r="BB66" s="59">
        <f t="shared" si="37"/>
        <v>1</v>
      </c>
      <c r="BC66" s="50">
        <f t="shared" si="31"/>
        <v>94</v>
      </c>
      <c r="BD66" s="60">
        <f t="shared" si="28"/>
        <v>36653.571205320201</v>
      </c>
      <c r="BE66" s="60">
        <f t="shared" si="38"/>
        <v>0</v>
      </c>
      <c r="BF66" s="61">
        <f t="shared" si="45"/>
        <v>-36653.571205320201</v>
      </c>
      <c r="BG66" s="60">
        <f t="shared" si="46"/>
        <v>0</v>
      </c>
      <c r="BH66" s="60">
        <f t="shared" si="21"/>
        <v>0</v>
      </c>
      <c r="BI66" s="50">
        <f t="shared" si="22"/>
        <v>0</v>
      </c>
    </row>
    <row r="67" spans="1:61" ht="21" x14ac:dyDescent="0.25">
      <c r="A67" s="13"/>
      <c r="B67" s="70" t="s">
        <v>51</v>
      </c>
      <c r="C67" s="13"/>
      <c r="D67" s="13"/>
      <c r="E67" s="71" t="s">
        <v>49</v>
      </c>
      <c r="F67" s="13"/>
      <c r="G67" s="13"/>
      <c r="H67" s="71" t="s">
        <v>50</v>
      </c>
      <c r="I67" s="13"/>
      <c r="K67" s="4"/>
      <c r="L67" s="4"/>
      <c r="M67" s="4"/>
      <c r="N67" s="4"/>
      <c r="O67" s="4"/>
      <c r="P67" s="53"/>
      <c r="Q67" s="59">
        <f t="shared" si="33"/>
        <v>1</v>
      </c>
      <c r="R67" s="59"/>
      <c r="S67" s="59"/>
      <c r="T67" s="59"/>
      <c r="U67" s="59"/>
      <c r="V67" s="59"/>
      <c r="W67" s="59"/>
      <c r="X67" s="50">
        <f t="shared" si="23"/>
        <v>95</v>
      </c>
      <c r="Y67" s="60">
        <f t="shared" si="24"/>
        <v>0</v>
      </c>
      <c r="Z67" s="60">
        <f t="shared" si="47"/>
        <v>0</v>
      </c>
      <c r="AA67" s="61">
        <f t="shared" si="39"/>
        <v>0</v>
      </c>
      <c r="AB67" s="60">
        <f t="shared" si="40"/>
        <v>0</v>
      </c>
      <c r="AC67" s="60">
        <f t="shared" si="10"/>
        <v>0</v>
      </c>
      <c r="AD67" s="61">
        <f t="shared" si="41"/>
        <v>0</v>
      </c>
      <c r="AE67" s="50">
        <f t="shared" si="12"/>
        <v>0</v>
      </c>
      <c r="AH67" s="59">
        <f t="shared" si="34"/>
        <v>1</v>
      </c>
      <c r="AI67" s="50">
        <f t="shared" si="29"/>
        <v>95</v>
      </c>
      <c r="AJ67" s="60">
        <f t="shared" si="25"/>
        <v>0</v>
      </c>
      <c r="AK67" s="60">
        <f t="shared" si="48"/>
        <v>0</v>
      </c>
      <c r="AL67" s="61">
        <f t="shared" si="42"/>
        <v>0</v>
      </c>
      <c r="AM67" s="60">
        <f t="shared" si="43"/>
        <v>0</v>
      </c>
      <c r="AN67" s="60">
        <f t="shared" si="26"/>
        <v>0</v>
      </c>
      <c r="AO67" s="50">
        <f t="shared" si="15"/>
        <v>0</v>
      </c>
      <c r="AR67" s="59">
        <f t="shared" si="35"/>
        <v>1</v>
      </c>
      <c r="AS67" s="50">
        <f t="shared" si="30"/>
        <v>95</v>
      </c>
      <c r="AT67" s="60" t="e">
        <f t="shared" si="27"/>
        <v>#REF!</v>
      </c>
      <c r="AU67" s="60">
        <f t="shared" si="36"/>
        <v>0</v>
      </c>
      <c r="AV67" s="61" t="e">
        <f>IF(AX66=0,0,IF(AS67=$E$31,-#REF!*AR67,IF(AS67&lt;$E$31,0,IF(-AV66*AR67&gt;AX66,-AX66,AV66*AR67))))</f>
        <v>#REF!</v>
      </c>
      <c r="AW67" s="60" t="e">
        <f t="shared" si="44"/>
        <v>#REF!</v>
      </c>
      <c r="AX67" s="60" t="e">
        <f t="shared" si="17"/>
        <v>#REF!</v>
      </c>
      <c r="AY67" s="50" t="e">
        <f t="shared" si="18"/>
        <v>#REF!</v>
      </c>
      <c r="BB67" s="59">
        <f t="shared" si="37"/>
        <v>1</v>
      </c>
      <c r="BC67" s="50">
        <f t="shared" si="31"/>
        <v>95</v>
      </c>
      <c r="BD67" s="60">
        <f t="shared" si="28"/>
        <v>0</v>
      </c>
      <c r="BE67" s="60">
        <f t="shared" si="38"/>
        <v>0</v>
      </c>
      <c r="BF67" s="61">
        <f t="shared" si="45"/>
        <v>0</v>
      </c>
      <c r="BG67" s="60">
        <f t="shared" si="46"/>
        <v>0</v>
      </c>
      <c r="BH67" s="60">
        <f t="shared" si="21"/>
        <v>0</v>
      </c>
      <c r="BI67" s="50">
        <f t="shared" si="22"/>
        <v>0</v>
      </c>
    </row>
    <row r="68" spans="1:61" x14ac:dyDescent="0.2">
      <c r="A68" s="13"/>
      <c r="B68" s="13"/>
      <c r="C68" s="13"/>
      <c r="D68" s="13"/>
      <c r="E68" s="17"/>
      <c r="F68" s="13"/>
      <c r="G68" s="13"/>
      <c r="H68" s="13"/>
      <c r="I68" s="13"/>
      <c r="K68" s="4"/>
      <c r="L68" s="4"/>
      <c r="M68" s="4"/>
      <c r="N68" s="4"/>
      <c r="O68" s="4"/>
      <c r="P68" s="53"/>
      <c r="Q68" s="59">
        <f t="shared" si="33"/>
        <v>1</v>
      </c>
      <c r="R68" s="59"/>
      <c r="S68" s="59"/>
      <c r="T68" s="59"/>
      <c r="U68" s="59"/>
      <c r="V68" s="59"/>
      <c r="W68" s="59"/>
      <c r="X68" s="50">
        <f t="shared" si="23"/>
        <v>96</v>
      </c>
      <c r="Y68" s="60">
        <f t="shared" si="24"/>
        <v>0</v>
      </c>
      <c r="Z68" s="60">
        <f t="shared" si="47"/>
        <v>0</v>
      </c>
      <c r="AA68" s="61">
        <f t="shared" si="39"/>
        <v>0</v>
      </c>
      <c r="AB68" s="60">
        <f t="shared" si="40"/>
        <v>0</v>
      </c>
      <c r="AC68" s="60">
        <f t="shared" si="10"/>
        <v>0</v>
      </c>
      <c r="AD68" s="61">
        <f t="shared" si="41"/>
        <v>0</v>
      </c>
      <c r="AE68" s="50">
        <f t="shared" si="12"/>
        <v>0</v>
      </c>
      <c r="AH68" s="59">
        <f t="shared" si="34"/>
        <v>1</v>
      </c>
      <c r="AI68" s="50">
        <f t="shared" si="29"/>
        <v>96</v>
      </c>
      <c r="AJ68" s="60">
        <f t="shared" si="25"/>
        <v>0</v>
      </c>
      <c r="AK68" s="60">
        <f t="shared" si="48"/>
        <v>0</v>
      </c>
      <c r="AL68" s="61">
        <f t="shared" si="42"/>
        <v>0</v>
      </c>
      <c r="AM68" s="60">
        <f t="shared" si="43"/>
        <v>0</v>
      </c>
      <c r="AN68" s="60">
        <f t="shared" si="26"/>
        <v>0</v>
      </c>
      <c r="AO68" s="50">
        <f t="shared" si="15"/>
        <v>0</v>
      </c>
      <c r="AR68" s="59">
        <f t="shared" si="35"/>
        <v>1</v>
      </c>
      <c r="AS68" s="50">
        <f t="shared" si="30"/>
        <v>96</v>
      </c>
      <c r="AT68" s="60" t="e">
        <f t="shared" si="27"/>
        <v>#REF!</v>
      </c>
      <c r="AU68" s="60">
        <f t="shared" si="36"/>
        <v>0</v>
      </c>
      <c r="AV68" s="61" t="e">
        <f>IF(AX67=0,0,IF(AS68=$E$31,-#REF!*AR68,IF(AS68&lt;$E$31,0,IF(-AV67*AR68&gt;AX67,-AX67,AV67*AR68))))</f>
        <v>#REF!</v>
      </c>
      <c r="AW68" s="60" t="e">
        <f t="shared" si="44"/>
        <v>#REF!</v>
      </c>
      <c r="AX68" s="60" t="e">
        <f t="shared" si="17"/>
        <v>#REF!</v>
      </c>
      <c r="AY68" s="50" t="e">
        <f t="shared" si="18"/>
        <v>#REF!</v>
      </c>
      <c r="BB68" s="59">
        <f t="shared" si="37"/>
        <v>1</v>
      </c>
      <c r="BC68" s="50">
        <f t="shared" si="31"/>
        <v>96</v>
      </c>
      <c r="BD68" s="60">
        <f t="shared" si="28"/>
        <v>0</v>
      </c>
      <c r="BE68" s="60">
        <f t="shared" si="38"/>
        <v>0</v>
      </c>
      <c r="BF68" s="61">
        <f t="shared" si="45"/>
        <v>0</v>
      </c>
      <c r="BG68" s="60">
        <f t="shared" si="46"/>
        <v>0</v>
      </c>
      <c r="BH68" s="60">
        <f t="shared" si="21"/>
        <v>0</v>
      </c>
      <c r="BI68" s="50">
        <f t="shared" si="22"/>
        <v>0</v>
      </c>
    </row>
    <row r="69" spans="1:61" x14ac:dyDescent="0.2">
      <c r="A69" s="13"/>
      <c r="B69" s="13" t="s">
        <v>20</v>
      </c>
      <c r="C69" s="13"/>
      <c r="D69" s="13"/>
      <c r="E69" s="17" t="s">
        <v>17</v>
      </c>
      <c r="F69" s="72">
        <v>13850</v>
      </c>
      <c r="G69" s="17"/>
      <c r="H69" s="72"/>
      <c r="I69" s="72"/>
      <c r="J69" s="9"/>
      <c r="K69" s="4"/>
      <c r="L69" s="4"/>
      <c r="M69" s="4"/>
      <c r="N69" s="4"/>
      <c r="O69" s="4"/>
      <c r="P69" s="53"/>
      <c r="Q69" s="59">
        <f t="shared" si="33"/>
        <v>1</v>
      </c>
      <c r="R69" s="59"/>
      <c r="S69" s="59"/>
      <c r="T69" s="59"/>
      <c r="U69" s="59"/>
      <c r="V69" s="59"/>
      <c r="W69" s="59"/>
      <c r="X69" s="50">
        <f t="shared" si="23"/>
        <v>97</v>
      </c>
      <c r="Y69" s="60">
        <f t="shared" si="24"/>
        <v>0</v>
      </c>
      <c r="Z69" s="60">
        <f t="shared" si="47"/>
        <v>0</v>
      </c>
      <c r="AA69" s="61">
        <f t="shared" si="39"/>
        <v>0</v>
      </c>
      <c r="AB69" s="60">
        <f t="shared" si="40"/>
        <v>0</v>
      </c>
      <c r="AC69" s="60">
        <f t="shared" si="10"/>
        <v>0</v>
      </c>
      <c r="AD69" s="61">
        <f t="shared" si="41"/>
        <v>0</v>
      </c>
      <c r="AE69" s="50">
        <f t="shared" si="12"/>
        <v>0</v>
      </c>
      <c r="AH69" s="59">
        <f t="shared" si="34"/>
        <v>1</v>
      </c>
      <c r="AI69" s="50">
        <f t="shared" si="29"/>
        <v>97</v>
      </c>
      <c r="AJ69" s="60">
        <f t="shared" si="25"/>
        <v>0</v>
      </c>
      <c r="AK69" s="60">
        <f t="shared" si="48"/>
        <v>0</v>
      </c>
      <c r="AL69" s="61">
        <f t="shared" si="42"/>
        <v>0</v>
      </c>
      <c r="AM69" s="60">
        <f t="shared" si="43"/>
        <v>0</v>
      </c>
      <c r="AN69" s="60">
        <f t="shared" si="26"/>
        <v>0</v>
      </c>
      <c r="AO69" s="50">
        <f t="shared" si="15"/>
        <v>0</v>
      </c>
      <c r="AR69" s="59">
        <f t="shared" si="35"/>
        <v>1</v>
      </c>
      <c r="AS69" s="50">
        <f t="shared" si="30"/>
        <v>97</v>
      </c>
      <c r="AT69" s="60" t="e">
        <f t="shared" si="27"/>
        <v>#REF!</v>
      </c>
      <c r="AU69" s="60">
        <f t="shared" si="36"/>
        <v>0</v>
      </c>
      <c r="AV69" s="61" t="e">
        <f>IF(AX68=0,0,IF(AS69=$E$31,-#REF!*AR69,IF(AS69&lt;$E$31,0,IF(-AV68*AR69&gt;AX68,-AX68,AV68*AR69))))</f>
        <v>#REF!</v>
      </c>
      <c r="AW69" s="60" t="e">
        <f t="shared" si="44"/>
        <v>#REF!</v>
      </c>
      <c r="AX69" s="60" t="e">
        <f t="shared" si="17"/>
        <v>#REF!</v>
      </c>
      <c r="AY69" s="50" t="e">
        <f t="shared" si="18"/>
        <v>#REF!</v>
      </c>
      <c r="BB69" s="59">
        <f t="shared" si="37"/>
        <v>1</v>
      </c>
      <c r="BC69" s="50">
        <f t="shared" si="31"/>
        <v>97</v>
      </c>
      <c r="BD69" s="60">
        <f t="shared" si="28"/>
        <v>0</v>
      </c>
      <c r="BE69" s="60">
        <f t="shared" si="38"/>
        <v>0</v>
      </c>
      <c r="BF69" s="61">
        <f t="shared" si="45"/>
        <v>0</v>
      </c>
      <c r="BG69" s="60">
        <f t="shared" si="46"/>
        <v>0</v>
      </c>
      <c r="BH69" s="60">
        <f t="shared" si="21"/>
        <v>0</v>
      </c>
      <c r="BI69" s="50">
        <f t="shared" si="22"/>
        <v>0</v>
      </c>
    </row>
    <row r="70" spans="1:61" x14ac:dyDescent="0.2">
      <c r="A70" s="13"/>
      <c r="B70" s="67" t="s">
        <v>4</v>
      </c>
      <c r="C70" s="67" t="s">
        <v>7</v>
      </c>
      <c r="D70" s="67" t="s">
        <v>8</v>
      </c>
      <c r="E70" s="67" t="s">
        <v>65</v>
      </c>
      <c r="F70" s="67" t="s">
        <v>9</v>
      </c>
      <c r="G70" s="67" t="s">
        <v>34</v>
      </c>
      <c r="H70" s="67" t="s">
        <v>5</v>
      </c>
      <c r="I70" s="67"/>
      <c r="J70" s="2"/>
      <c r="K70" s="4"/>
      <c r="L70" s="4"/>
      <c r="M70" s="4"/>
      <c r="N70" s="4"/>
      <c r="O70" s="4"/>
      <c r="P70" s="53"/>
      <c r="Q70" s="59">
        <f t="shared" si="33"/>
        <v>1</v>
      </c>
      <c r="R70" s="59"/>
      <c r="S70" s="59"/>
      <c r="T70" s="59"/>
      <c r="U70" s="59"/>
      <c r="V70" s="59"/>
      <c r="W70" s="59"/>
      <c r="X70" s="50">
        <f t="shared" si="23"/>
        <v>98</v>
      </c>
      <c r="Y70" s="60">
        <f t="shared" si="24"/>
        <v>0</v>
      </c>
      <c r="Z70" s="60">
        <f t="shared" si="47"/>
        <v>0</v>
      </c>
      <c r="AA70" s="61">
        <f t="shared" si="39"/>
        <v>0</v>
      </c>
      <c r="AB70" s="60">
        <f t="shared" si="40"/>
        <v>0</v>
      </c>
      <c r="AC70" s="60">
        <f t="shared" si="10"/>
        <v>0</v>
      </c>
      <c r="AD70" s="61">
        <f t="shared" si="41"/>
        <v>0</v>
      </c>
      <c r="AE70" s="50">
        <f t="shared" si="12"/>
        <v>0</v>
      </c>
      <c r="AH70" s="59">
        <f t="shared" si="34"/>
        <v>1</v>
      </c>
      <c r="AI70" s="50">
        <f t="shared" si="29"/>
        <v>98</v>
      </c>
      <c r="AJ70" s="60">
        <f t="shared" si="25"/>
        <v>0</v>
      </c>
      <c r="AK70" s="60">
        <f t="shared" si="48"/>
        <v>0</v>
      </c>
      <c r="AL70" s="61">
        <f t="shared" si="42"/>
        <v>0</v>
      </c>
      <c r="AM70" s="60">
        <f t="shared" si="43"/>
        <v>0</v>
      </c>
      <c r="AN70" s="60">
        <f t="shared" si="26"/>
        <v>0</v>
      </c>
      <c r="AO70" s="50">
        <f t="shared" si="15"/>
        <v>0</v>
      </c>
      <c r="AR70" s="59">
        <f t="shared" si="35"/>
        <v>1</v>
      </c>
      <c r="AS70" s="50">
        <f t="shared" si="30"/>
        <v>98</v>
      </c>
      <c r="AT70" s="60" t="e">
        <f t="shared" si="27"/>
        <v>#REF!</v>
      </c>
      <c r="AU70" s="60">
        <f t="shared" si="36"/>
        <v>0</v>
      </c>
      <c r="AV70" s="61" t="e">
        <f>IF(AX69=0,0,IF(AS70=$E$31,-#REF!*AR70,IF(AS70&lt;$E$31,0,IF(-AV69*AR70&gt;AX69,-AX69,AV69*AR70))))</f>
        <v>#REF!</v>
      </c>
      <c r="AW70" s="60" t="e">
        <f t="shared" si="44"/>
        <v>#REF!</v>
      </c>
      <c r="AX70" s="60" t="e">
        <f t="shared" si="17"/>
        <v>#REF!</v>
      </c>
      <c r="AY70" s="50" t="e">
        <f t="shared" si="18"/>
        <v>#REF!</v>
      </c>
      <c r="BB70" s="59">
        <f t="shared" si="37"/>
        <v>1</v>
      </c>
      <c r="BC70" s="50">
        <f t="shared" si="31"/>
        <v>98</v>
      </c>
      <c r="BD70" s="60">
        <f t="shared" si="28"/>
        <v>0</v>
      </c>
      <c r="BE70" s="60">
        <f t="shared" si="38"/>
        <v>0</v>
      </c>
      <c r="BF70" s="61">
        <f t="shared" si="45"/>
        <v>0</v>
      </c>
      <c r="BG70" s="60">
        <f t="shared" si="46"/>
        <v>0</v>
      </c>
      <c r="BH70" s="60">
        <f t="shared" si="21"/>
        <v>0</v>
      </c>
      <c r="BI70" s="50">
        <f t="shared" si="22"/>
        <v>0</v>
      </c>
    </row>
    <row r="71" spans="1:61" x14ac:dyDescent="0.2">
      <c r="A71" s="13" t="s">
        <v>24</v>
      </c>
      <c r="B71" s="73">
        <v>0.1</v>
      </c>
      <c r="C71" s="68">
        <v>0</v>
      </c>
      <c r="D71" s="68">
        <v>10275</v>
      </c>
      <c r="E71" s="68">
        <f>IF($E$13="Single",IF($E$16&gt;D71,D71,$E$16),0)</f>
        <v>0</v>
      </c>
      <c r="F71" s="68">
        <f t="shared" ref="F71:F77" si="49">E71*B71</f>
        <v>0</v>
      </c>
      <c r="G71" s="68">
        <f>IF($E$13="Single",IF($F$13&gt;D71,D71,$F$13),0)</f>
        <v>0</v>
      </c>
      <c r="H71" s="68">
        <f t="shared" ref="H71:H77" si="50">G71*B71</f>
        <v>0</v>
      </c>
      <c r="I71" s="68"/>
      <c r="J71" s="4"/>
      <c r="K71" s="4"/>
      <c r="L71" s="4"/>
      <c r="M71" s="4"/>
      <c r="N71" s="4"/>
      <c r="O71" s="4"/>
      <c r="Q71" s="59">
        <f t="shared" si="33"/>
        <v>1</v>
      </c>
      <c r="R71" s="59"/>
      <c r="S71" s="59"/>
      <c r="T71" s="59"/>
      <c r="U71" s="59"/>
      <c r="V71" s="59"/>
      <c r="W71" s="59"/>
      <c r="X71" s="50">
        <f t="shared" si="23"/>
        <v>99</v>
      </c>
      <c r="Y71" s="60">
        <f t="shared" si="24"/>
        <v>0</v>
      </c>
      <c r="Z71" s="60">
        <f t="shared" si="47"/>
        <v>0</v>
      </c>
      <c r="AA71" s="61">
        <f t="shared" si="39"/>
        <v>0</v>
      </c>
      <c r="AB71" s="60">
        <f t="shared" si="40"/>
        <v>0</v>
      </c>
      <c r="AC71" s="60">
        <f t="shared" si="10"/>
        <v>0</v>
      </c>
      <c r="AD71" s="61">
        <f t="shared" si="41"/>
        <v>0</v>
      </c>
      <c r="AE71" s="50">
        <f t="shared" si="12"/>
        <v>0</v>
      </c>
      <c r="AH71" s="59">
        <f t="shared" si="34"/>
        <v>1</v>
      </c>
      <c r="AI71" s="50">
        <f t="shared" si="29"/>
        <v>99</v>
      </c>
      <c r="AJ71" s="60">
        <f t="shared" si="25"/>
        <v>0</v>
      </c>
      <c r="AK71" s="60">
        <f t="shared" si="48"/>
        <v>0</v>
      </c>
      <c r="AL71" s="61">
        <f t="shared" si="42"/>
        <v>0</v>
      </c>
      <c r="AM71" s="60">
        <f t="shared" si="43"/>
        <v>0</v>
      </c>
      <c r="AN71" s="60">
        <f t="shared" si="26"/>
        <v>0</v>
      </c>
      <c r="AO71" s="50">
        <f t="shared" si="15"/>
        <v>0</v>
      </c>
      <c r="AR71" s="59">
        <f t="shared" si="35"/>
        <v>1</v>
      </c>
      <c r="AS71" s="50">
        <f t="shared" si="30"/>
        <v>99</v>
      </c>
      <c r="AT71" s="60" t="e">
        <f t="shared" si="27"/>
        <v>#REF!</v>
      </c>
      <c r="AU71" s="60">
        <f t="shared" si="36"/>
        <v>0</v>
      </c>
      <c r="AV71" s="61" t="e">
        <f>IF(AX70=0,0,IF(AS71=$E$31,-#REF!*AR71,IF(AS71&lt;$E$31,0,IF(-AV70*AR71&gt;AX70,-AX70,AV70*AR71))))</f>
        <v>#REF!</v>
      </c>
      <c r="AW71" s="60" t="e">
        <f t="shared" si="44"/>
        <v>#REF!</v>
      </c>
      <c r="AX71" s="60" t="e">
        <f t="shared" si="17"/>
        <v>#REF!</v>
      </c>
      <c r="AY71" s="50" t="e">
        <f t="shared" si="18"/>
        <v>#REF!</v>
      </c>
      <c r="BB71" s="59">
        <f t="shared" si="37"/>
        <v>1</v>
      </c>
      <c r="BC71" s="50">
        <f t="shared" si="31"/>
        <v>99</v>
      </c>
      <c r="BD71" s="60">
        <f t="shared" si="28"/>
        <v>0</v>
      </c>
      <c r="BE71" s="60">
        <f t="shared" si="38"/>
        <v>0</v>
      </c>
      <c r="BF71" s="61">
        <f t="shared" si="45"/>
        <v>0</v>
      </c>
      <c r="BG71" s="60">
        <f t="shared" si="46"/>
        <v>0</v>
      </c>
      <c r="BH71" s="60">
        <f t="shared" si="21"/>
        <v>0</v>
      </c>
      <c r="BI71" s="50">
        <f t="shared" si="22"/>
        <v>0</v>
      </c>
    </row>
    <row r="72" spans="1:61" x14ac:dyDescent="0.2">
      <c r="A72" s="13" t="s">
        <v>24</v>
      </c>
      <c r="B72" s="73">
        <v>0.12</v>
      </c>
      <c r="C72" s="68">
        <v>10276</v>
      </c>
      <c r="D72" s="68">
        <v>41775</v>
      </c>
      <c r="E72" s="68">
        <f>IF($E$13="Single",IF($E$16&gt;D72,(D72-D71),($E$16-E71)),0)</f>
        <v>0</v>
      </c>
      <c r="F72" s="68">
        <f t="shared" si="49"/>
        <v>0</v>
      </c>
      <c r="G72" s="68">
        <f>IF($E$13="Single",IF($F$13&gt;D72,(D72-D71),($F$13-G71)),0)</f>
        <v>0</v>
      </c>
      <c r="H72" s="68">
        <f t="shared" si="50"/>
        <v>0</v>
      </c>
      <c r="I72" s="68"/>
      <c r="J72" s="4"/>
      <c r="K72" s="4"/>
      <c r="L72" s="4"/>
      <c r="M72" s="4"/>
      <c r="N72" s="4"/>
      <c r="P72" s="54"/>
      <c r="Q72" s="59">
        <f t="shared" si="33"/>
        <v>1</v>
      </c>
      <c r="R72" s="59"/>
      <c r="S72" s="59"/>
      <c r="T72" s="59"/>
      <c r="U72" s="59"/>
      <c r="V72" s="59"/>
      <c r="W72" s="59"/>
      <c r="X72" s="50">
        <f t="shared" si="23"/>
        <v>100</v>
      </c>
      <c r="Y72" s="60">
        <f t="shared" si="24"/>
        <v>0</v>
      </c>
      <c r="Z72" s="60">
        <f t="shared" si="47"/>
        <v>0</v>
      </c>
      <c r="AA72" s="61">
        <f t="shared" si="39"/>
        <v>0</v>
      </c>
      <c r="AB72" s="60">
        <f t="shared" si="40"/>
        <v>0</v>
      </c>
      <c r="AC72" s="60">
        <f t="shared" si="10"/>
        <v>0</v>
      </c>
      <c r="AD72" s="61">
        <f t="shared" si="41"/>
        <v>0</v>
      </c>
      <c r="AE72" s="50">
        <f t="shared" si="12"/>
        <v>0</v>
      </c>
      <c r="AH72" s="59">
        <f t="shared" si="34"/>
        <v>1</v>
      </c>
      <c r="AI72" s="50">
        <f t="shared" si="29"/>
        <v>100</v>
      </c>
      <c r="AJ72" s="60">
        <f t="shared" si="25"/>
        <v>0</v>
      </c>
      <c r="AK72" s="60">
        <f t="shared" si="48"/>
        <v>0</v>
      </c>
      <c r="AL72" s="61">
        <f t="shared" si="42"/>
        <v>0</v>
      </c>
      <c r="AM72" s="60">
        <f t="shared" si="43"/>
        <v>0</v>
      </c>
      <c r="AN72" s="60">
        <f t="shared" si="26"/>
        <v>0</v>
      </c>
      <c r="AO72" s="50">
        <f t="shared" si="15"/>
        <v>0</v>
      </c>
      <c r="AR72" s="59">
        <f t="shared" si="35"/>
        <v>1</v>
      </c>
      <c r="AS72" s="50">
        <f t="shared" si="30"/>
        <v>100</v>
      </c>
      <c r="AT72" s="60" t="e">
        <f t="shared" si="27"/>
        <v>#REF!</v>
      </c>
      <c r="AU72" s="60">
        <f t="shared" si="36"/>
        <v>0</v>
      </c>
      <c r="AV72" s="61" t="e">
        <f>IF(AX71=0,0,IF(AS72=$E$31,-#REF!*AR72,IF(AS72&lt;$E$31,0,IF(-AV71*AR72&gt;AX71,-AX71,AV71*AR72))))</f>
        <v>#REF!</v>
      </c>
      <c r="AW72" s="60" t="e">
        <f t="shared" si="44"/>
        <v>#REF!</v>
      </c>
      <c r="AX72" s="60" t="e">
        <f t="shared" si="17"/>
        <v>#REF!</v>
      </c>
      <c r="AY72" s="50" t="e">
        <f t="shared" si="18"/>
        <v>#REF!</v>
      </c>
      <c r="BB72" s="59">
        <f t="shared" si="37"/>
        <v>1</v>
      </c>
      <c r="BC72" s="50">
        <f t="shared" si="31"/>
        <v>100</v>
      </c>
      <c r="BD72" s="60">
        <f t="shared" si="28"/>
        <v>0</v>
      </c>
      <c r="BE72" s="60">
        <f t="shared" si="38"/>
        <v>0</v>
      </c>
      <c r="BF72" s="61">
        <f t="shared" si="45"/>
        <v>0</v>
      </c>
      <c r="BG72" s="60">
        <f t="shared" si="46"/>
        <v>0</v>
      </c>
      <c r="BH72" s="60">
        <f t="shared" si="21"/>
        <v>0</v>
      </c>
      <c r="BI72" s="50">
        <f t="shared" si="22"/>
        <v>0</v>
      </c>
    </row>
    <row r="73" spans="1:61" x14ac:dyDescent="0.2">
      <c r="A73" s="13" t="s">
        <v>24</v>
      </c>
      <c r="B73" s="73">
        <v>0.22</v>
      </c>
      <c r="C73" s="68">
        <v>41776</v>
      </c>
      <c r="D73" s="68">
        <v>89075</v>
      </c>
      <c r="E73" s="68">
        <f>IF($E$13="Single",IF($E$16&gt;D73,(D73-D72),($E$16-E72-E71)),0)</f>
        <v>0</v>
      </c>
      <c r="F73" s="68">
        <f t="shared" si="49"/>
        <v>0</v>
      </c>
      <c r="G73" s="68">
        <f>IF($E$13="Single",IF($F$13&gt;D73,(D73-D72),($F$13-G72-G71)),0)</f>
        <v>0</v>
      </c>
      <c r="H73" s="68">
        <f t="shared" si="50"/>
        <v>0</v>
      </c>
      <c r="I73" s="68"/>
      <c r="J73" s="4"/>
      <c r="O73" s="6"/>
      <c r="Q73" s="59">
        <f t="shared" ref="Q73:Q104" si="51">IF(X73&gt;$E$31,(1+$E$54),1)</f>
        <v>1</v>
      </c>
      <c r="R73" s="59"/>
      <c r="S73" s="59"/>
      <c r="T73" s="59"/>
      <c r="U73" s="59"/>
      <c r="V73" s="59"/>
      <c r="W73" s="59"/>
      <c r="X73" s="50">
        <f t="shared" si="23"/>
        <v>101</v>
      </c>
      <c r="Y73" s="60">
        <f t="shared" si="24"/>
        <v>0</v>
      </c>
      <c r="Z73" s="60">
        <f t="shared" ref="Z73:Z104" si="52">IF(X73&gt;=$E$31,0,$E$17)</f>
        <v>0</v>
      </c>
      <c r="AA73" s="61">
        <f t="shared" si="39"/>
        <v>0</v>
      </c>
      <c r="AB73" s="60">
        <f t="shared" si="40"/>
        <v>0</v>
      </c>
      <c r="AC73" s="60">
        <f t="shared" si="10"/>
        <v>0</v>
      </c>
      <c r="AD73" s="61">
        <f t="shared" si="41"/>
        <v>0</v>
      </c>
      <c r="AE73" s="50">
        <f t="shared" si="12"/>
        <v>0</v>
      </c>
      <c r="AH73" s="59">
        <f t="shared" ref="AH73:AH104" si="53">IF(AI73&gt;$E$31,(1+$E$54),1)</f>
        <v>1</v>
      </c>
      <c r="AI73" s="50">
        <f t="shared" si="29"/>
        <v>101</v>
      </c>
      <c r="AJ73" s="60">
        <f t="shared" si="25"/>
        <v>0</v>
      </c>
      <c r="AK73" s="60">
        <f t="shared" ref="AK73:AK104" si="54">IF(AI73&gt;=$E$31,0,$E$18)</f>
        <v>0</v>
      </c>
      <c r="AL73" s="61">
        <f t="shared" si="42"/>
        <v>0</v>
      </c>
      <c r="AM73" s="60">
        <f t="shared" si="43"/>
        <v>0</v>
      </c>
      <c r="AN73" s="60">
        <f t="shared" si="26"/>
        <v>0</v>
      </c>
      <c r="AO73" s="50">
        <f t="shared" si="15"/>
        <v>0</v>
      </c>
      <c r="AR73" s="59">
        <f t="shared" ref="AR73:AR104" si="55">IF(AS73&gt;$E$31,(1+$E$54),1)</f>
        <v>1</v>
      </c>
      <c r="AS73" s="50">
        <f t="shared" si="30"/>
        <v>101</v>
      </c>
      <c r="AT73" s="60" t="e">
        <f t="shared" si="27"/>
        <v>#REF!</v>
      </c>
      <c r="AU73" s="60">
        <f t="shared" ref="AU73:AU104" si="56">IF(AS73&gt;=$E$31,0,$H$19)</f>
        <v>0</v>
      </c>
      <c r="AV73" s="61" t="e">
        <f>IF(AX72=0,0,IF(AS73=$E$31,-#REF!*AR73,IF(AS73&lt;$E$31,0,IF(-AV72*AR73&gt;AX72,-AX72,AV72*AR73))))</f>
        <v>#REF!</v>
      </c>
      <c r="AW73" s="60" t="e">
        <f t="shared" si="44"/>
        <v>#REF!</v>
      </c>
      <c r="AX73" s="60" t="e">
        <f t="shared" si="17"/>
        <v>#REF!</v>
      </c>
      <c r="AY73" s="50" t="e">
        <f t="shared" si="18"/>
        <v>#REF!</v>
      </c>
      <c r="BB73" s="59">
        <f t="shared" ref="BB73:BB104" si="57">IF(BC73&gt;$E$31,(1+$E$54),1)</f>
        <v>1</v>
      </c>
      <c r="BC73" s="50">
        <f t="shared" si="31"/>
        <v>101</v>
      </c>
      <c r="BD73" s="60">
        <f t="shared" si="28"/>
        <v>0</v>
      </c>
      <c r="BE73" s="60">
        <f t="shared" ref="BE73:BE104" si="58">IF(BC73&gt;=$E$31,0,$H$20)</f>
        <v>0</v>
      </c>
      <c r="BF73" s="61">
        <f t="shared" si="45"/>
        <v>0</v>
      </c>
      <c r="BG73" s="60">
        <f t="shared" si="46"/>
        <v>0</v>
      </c>
      <c r="BH73" s="60">
        <f t="shared" si="21"/>
        <v>0</v>
      </c>
      <c r="BI73" s="50">
        <f t="shared" si="22"/>
        <v>0</v>
      </c>
    </row>
    <row r="74" spans="1:61" x14ac:dyDescent="0.2">
      <c r="A74" s="13" t="s">
        <v>24</v>
      </c>
      <c r="B74" s="73">
        <v>0.24</v>
      </c>
      <c r="C74" s="68">
        <v>89076</v>
      </c>
      <c r="D74" s="68">
        <v>170050</v>
      </c>
      <c r="E74" s="68">
        <f>IF($E$13="Single",IF($E$16&gt;D74,(D74-D73),($E$16-E73-E72-E71)),0)</f>
        <v>0</v>
      </c>
      <c r="F74" s="68">
        <f t="shared" si="49"/>
        <v>0</v>
      </c>
      <c r="G74" s="68">
        <f>IF($E$13="Single",IF($F$13&gt;D74,(D74-D73),($F$13-G73-G72-G71)),0)</f>
        <v>0</v>
      </c>
      <c r="H74" s="68">
        <f t="shared" si="50"/>
        <v>0</v>
      </c>
      <c r="I74" s="68"/>
      <c r="J74" s="4"/>
      <c r="K74" s="6"/>
      <c r="L74" s="6"/>
      <c r="M74" s="6"/>
      <c r="N74" s="6"/>
      <c r="Q74" s="59">
        <f t="shared" si="51"/>
        <v>1</v>
      </c>
      <c r="R74" s="59"/>
      <c r="S74" s="59"/>
      <c r="T74" s="59"/>
      <c r="U74" s="59"/>
      <c r="V74" s="59"/>
      <c r="W74" s="59"/>
      <c r="X74" s="50">
        <f>X73+1</f>
        <v>102</v>
      </c>
      <c r="Y74" s="60">
        <f t="shared" si="24"/>
        <v>0</v>
      </c>
      <c r="Z74" s="60">
        <f t="shared" si="52"/>
        <v>0</v>
      </c>
      <c r="AA74" s="61">
        <f t="shared" ref="AA74:AA105" si="59">IF(AC73=0,0,IF(X74=$E$31,-$E$33*Q74,IF(X74&lt;$E$31,0,IF(-AA73*Q74&gt;AC73,-AC73,AA73*Q74))))</f>
        <v>0</v>
      </c>
      <c r="AB74" s="60">
        <f t="shared" ref="AB74:AB105" si="60">IF(AC73=0,0,SUM(Y74:AA74)*$E$22)</f>
        <v>0</v>
      </c>
      <c r="AC74" s="60">
        <f t="shared" ref="AC74:AC112" si="61">IF(SUM(Y74:AB74)&lt;0,0,(SUM(Y74:AB74)))</f>
        <v>0</v>
      </c>
      <c r="AD74" s="61">
        <f t="shared" ref="AD74:AD105" si="62">IF($AC73=0,0,IF($X74=$E$31,-$E$35*$Q74,IF($X74&lt;$E$31,0,IF(-$AA73*$Q74&gt;$AC73,-$AC73*AD73/AA73,$AD73*$Q74))))</f>
        <v>0</v>
      </c>
      <c r="AE74" s="50">
        <f t="shared" ref="AE74:AE112" si="63">IF(AB74&lt;0,AB74,0)</f>
        <v>0</v>
      </c>
      <c r="AH74" s="59">
        <f t="shared" si="53"/>
        <v>1</v>
      </c>
      <c r="AI74" s="50">
        <f t="shared" si="29"/>
        <v>102</v>
      </c>
      <c r="AJ74" s="60">
        <f t="shared" si="25"/>
        <v>0</v>
      </c>
      <c r="AK74" s="60">
        <f t="shared" si="54"/>
        <v>0</v>
      </c>
      <c r="AL74" s="61">
        <f t="shared" ref="AL74:AL105" si="64">IF(AN73=0,0,IF(AI74=$E$31,-$E$35*AH74,IF(AI74&lt;$E$31,0,IF(-AL73*AH74&gt;AN73,-AN73,AL73*AH74))))</f>
        <v>0</v>
      </c>
      <c r="AM74" s="60">
        <f t="shared" ref="AM74:AM105" si="65">IF(AN73=0,0,SUM(AJ74:AL74)*$E$22)</f>
        <v>0</v>
      </c>
      <c r="AN74" s="60">
        <f t="shared" ref="AN74:AN112" si="66">IF(SUM(AJ74:AM74)&lt;0,0,(SUM(AJ74:AM74)))</f>
        <v>0</v>
      </c>
      <c r="AO74" s="50">
        <f t="shared" ref="AO74:AO112" si="67">IF(AM74&lt;0,AM74,0)</f>
        <v>0</v>
      </c>
      <c r="AR74" s="59">
        <f t="shared" si="55"/>
        <v>1</v>
      </c>
      <c r="AS74" s="50">
        <f t="shared" si="30"/>
        <v>102</v>
      </c>
      <c r="AT74" s="60" t="e">
        <f t="shared" si="27"/>
        <v>#REF!</v>
      </c>
      <c r="AU74" s="60">
        <f t="shared" si="56"/>
        <v>0</v>
      </c>
      <c r="AV74" s="61" t="e">
        <f>IF(AX73=0,0,IF(AS74=$E$31,-#REF!*AR74,IF(AS74&lt;$E$31,0,IF(-AV73*AR74&gt;AX73,-AX73,AV73*AR74))))</f>
        <v>#REF!</v>
      </c>
      <c r="AW74" s="60" t="e">
        <f t="shared" ref="AW74:AW105" si="68">IF(AX73=0,0,SUM(AT74:AV74)*$E$22)</f>
        <v>#REF!</v>
      </c>
      <c r="AX74" s="60" t="e">
        <f t="shared" ref="AX74:AX112" si="69">IF(SUM(AT74:AW74)&lt;0,0,(SUM(AT74:AW74)))</f>
        <v>#REF!</v>
      </c>
      <c r="AY74" s="50" t="e">
        <f t="shared" ref="AY74:AY112" si="70">IF(AW74&lt;0,AW74,0)</f>
        <v>#REF!</v>
      </c>
      <c r="BB74" s="59">
        <f t="shared" si="57"/>
        <v>1</v>
      </c>
      <c r="BC74" s="50">
        <f t="shared" si="31"/>
        <v>102</v>
      </c>
      <c r="BD74" s="60">
        <f t="shared" si="28"/>
        <v>0</v>
      </c>
      <c r="BE74" s="60">
        <f t="shared" si="58"/>
        <v>0</v>
      </c>
      <c r="BF74" s="61">
        <f t="shared" ref="BF74:BF105" si="71">IF(BH73=0,0,IF(BC74=$E$31,-$E$35*BB74,IF(BC74&lt;$E$31,0,IF(-BF73*BB74&gt;BH73,-BH73,BF73*BB74))))</f>
        <v>0</v>
      </c>
      <c r="BG74" s="60">
        <f t="shared" ref="BG74:BG105" si="72">IF(BH73=0,0,SUM(BD74:BF74)*$E$22)</f>
        <v>0</v>
      </c>
      <c r="BH74" s="60">
        <f t="shared" ref="BH74:BH112" si="73">IF(SUM(BD74:BG74)&lt;0,0,(SUM(BD74:BG74)))</f>
        <v>0</v>
      </c>
      <c r="BI74" s="50">
        <f t="shared" ref="BI74:BI112" si="74">IF(BG74&lt;0,BG74,0)</f>
        <v>0</v>
      </c>
    </row>
    <row r="75" spans="1:61" x14ac:dyDescent="0.2">
      <c r="A75" s="13" t="s">
        <v>24</v>
      </c>
      <c r="B75" s="73">
        <v>0.32</v>
      </c>
      <c r="C75" s="68">
        <v>170051</v>
      </c>
      <c r="D75" s="68">
        <v>215950</v>
      </c>
      <c r="E75" s="68">
        <f>IF($E$13="Single",IF($E$16&gt;D75,(D75-D74),($E$16-E74-E73-E72-E71)),0)</f>
        <v>0</v>
      </c>
      <c r="F75" s="68">
        <f t="shared" si="49"/>
        <v>0</v>
      </c>
      <c r="G75" s="68">
        <f>IF($E$13="Single",IF($F$13&gt;D75,(D75-D74),($F$13-G74-G73-G72-G71)),0)</f>
        <v>0</v>
      </c>
      <c r="H75" s="68">
        <f t="shared" si="50"/>
        <v>0</v>
      </c>
      <c r="I75" s="68"/>
      <c r="J75" s="4"/>
      <c r="P75" s="51"/>
      <c r="Q75" s="59">
        <f t="shared" si="51"/>
        <v>1</v>
      </c>
      <c r="R75" s="59"/>
      <c r="S75" s="59"/>
      <c r="T75" s="59"/>
      <c r="U75" s="59"/>
      <c r="V75" s="59"/>
      <c r="W75" s="59"/>
      <c r="X75" s="50">
        <f t="shared" si="23"/>
        <v>103</v>
      </c>
      <c r="Y75" s="60">
        <f t="shared" ref="Y75:Y112" si="75">AC74</f>
        <v>0</v>
      </c>
      <c r="Z75" s="60">
        <f t="shared" si="52"/>
        <v>0</v>
      </c>
      <c r="AA75" s="61">
        <f t="shared" si="59"/>
        <v>0</v>
      </c>
      <c r="AB75" s="60">
        <f t="shared" si="60"/>
        <v>0</v>
      </c>
      <c r="AC75" s="60">
        <f t="shared" si="61"/>
        <v>0</v>
      </c>
      <c r="AD75" s="61">
        <f t="shared" si="62"/>
        <v>0</v>
      </c>
      <c r="AE75" s="50">
        <f t="shared" si="63"/>
        <v>0</v>
      </c>
      <c r="AH75" s="59">
        <f t="shared" si="53"/>
        <v>1</v>
      </c>
      <c r="AI75" s="50">
        <f t="shared" si="29"/>
        <v>103</v>
      </c>
      <c r="AJ75" s="60">
        <f t="shared" ref="AJ75:AJ112" si="76">AN74</f>
        <v>0</v>
      </c>
      <c r="AK75" s="60">
        <f t="shared" si="54"/>
        <v>0</v>
      </c>
      <c r="AL75" s="61">
        <f t="shared" si="64"/>
        <v>0</v>
      </c>
      <c r="AM75" s="60">
        <f t="shared" si="65"/>
        <v>0</v>
      </c>
      <c r="AN75" s="60">
        <f t="shared" si="66"/>
        <v>0</v>
      </c>
      <c r="AO75" s="50">
        <f t="shared" si="67"/>
        <v>0</v>
      </c>
      <c r="AR75" s="59">
        <f t="shared" si="55"/>
        <v>1</v>
      </c>
      <c r="AS75" s="50">
        <f t="shared" si="30"/>
        <v>103</v>
      </c>
      <c r="AT75" s="60" t="e">
        <f t="shared" ref="AT75:AT112" si="77">AX74</f>
        <v>#REF!</v>
      </c>
      <c r="AU75" s="60">
        <f t="shared" si="56"/>
        <v>0</v>
      </c>
      <c r="AV75" s="61" t="e">
        <f>IF(AX74=0,0,IF(AS75=$E$31,-#REF!*AR75,IF(AS75&lt;$E$31,0,IF(-AV74*AR75&gt;AX74,-AX74,AV74*AR75))))</f>
        <v>#REF!</v>
      </c>
      <c r="AW75" s="60" t="e">
        <f t="shared" si="68"/>
        <v>#REF!</v>
      </c>
      <c r="AX75" s="60" t="e">
        <f t="shared" si="69"/>
        <v>#REF!</v>
      </c>
      <c r="AY75" s="50" t="e">
        <f t="shared" si="70"/>
        <v>#REF!</v>
      </c>
      <c r="BB75" s="59">
        <f t="shared" si="57"/>
        <v>1</v>
      </c>
      <c r="BC75" s="50">
        <f t="shared" si="31"/>
        <v>103</v>
      </c>
      <c r="BD75" s="60">
        <f t="shared" ref="BD75:BD112" si="78">BH74</f>
        <v>0</v>
      </c>
      <c r="BE75" s="60">
        <f t="shared" si="58"/>
        <v>0</v>
      </c>
      <c r="BF75" s="61">
        <f t="shared" si="71"/>
        <v>0</v>
      </c>
      <c r="BG75" s="60">
        <f t="shared" si="72"/>
        <v>0</v>
      </c>
      <c r="BH75" s="60">
        <f t="shared" si="73"/>
        <v>0</v>
      </c>
      <c r="BI75" s="50">
        <f t="shared" si="74"/>
        <v>0</v>
      </c>
    </row>
    <row r="76" spans="1:61" x14ac:dyDescent="0.2">
      <c r="A76" s="13" t="s">
        <v>24</v>
      </c>
      <c r="B76" s="73">
        <v>0.35</v>
      </c>
      <c r="C76" s="68">
        <v>215951</v>
      </c>
      <c r="D76" s="68">
        <v>539900</v>
      </c>
      <c r="E76" s="68">
        <f>IF($E$13="Single",IF($E$16&gt;D76,(D76-D75),($E$16-E75-E74-E73-E72-E71)),0)</f>
        <v>0</v>
      </c>
      <c r="F76" s="68">
        <f t="shared" si="49"/>
        <v>0</v>
      </c>
      <c r="G76" s="68">
        <f>IF($E$13="Single",IF($F$13&gt;D76,(D76-D75),($F$13-G75-G74-G73-G72-G71)),0)</f>
        <v>0</v>
      </c>
      <c r="H76" s="68">
        <f t="shared" si="50"/>
        <v>0</v>
      </c>
      <c r="I76" s="68"/>
      <c r="J76" s="4"/>
      <c r="O76" s="9"/>
      <c r="P76" s="52"/>
      <c r="Q76" s="59">
        <f t="shared" si="51"/>
        <v>1</v>
      </c>
      <c r="R76" s="59"/>
      <c r="S76" s="59"/>
      <c r="T76" s="59"/>
      <c r="U76" s="59"/>
      <c r="V76" s="59"/>
      <c r="W76" s="59"/>
      <c r="X76" s="50">
        <f t="shared" ref="X76:X105" si="79">X75+1</f>
        <v>104</v>
      </c>
      <c r="Y76" s="60">
        <f t="shared" si="75"/>
        <v>0</v>
      </c>
      <c r="Z76" s="60">
        <f t="shared" si="52"/>
        <v>0</v>
      </c>
      <c r="AA76" s="61">
        <f t="shared" si="59"/>
        <v>0</v>
      </c>
      <c r="AB76" s="60">
        <f t="shared" si="60"/>
        <v>0</v>
      </c>
      <c r="AC76" s="60">
        <f t="shared" si="61"/>
        <v>0</v>
      </c>
      <c r="AD76" s="61">
        <f t="shared" si="62"/>
        <v>0</v>
      </c>
      <c r="AE76" s="50">
        <f t="shared" si="63"/>
        <v>0</v>
      </c>
      <c r="AH76" s="59">
        <f t="shared" si="53"/>
        <v>1</v>
      </c>
      <c r="AI76" s="50">
        <f t="shared" ref="AI76:AI112" si="80">AI75+1</f>
        <v>104</v>
      </c>
      <c r="AJ76" s="60">
        <f t="shared" si="76"/>
        <v>0</v>
      </c>
      <c r="AK76" s="60">
        <f t="shared" si="54"/>
        <v>0</v>
      </c>
      <c r="AL76" s="61">
        <f t="shared" si="64"/>
        <v>0</v>
      </c>
      <c r="AM76" s="60">
        <f t="shared" si="65"/>
        <v>0</v>
      </c>
      <c r="AN76" s="60">
        <f t="shared" si="66"/>
        <v>0</v>
      </c>
      <c r="AO76" s="50">
        <f t="shared" si="67"/>
        <v>0</v>
      </c>
      <c r="AR76" s="59">
        <f t="shared" si="55"/>
        <v>1</v>
      </c>
      <c r="AS76" s="50">
        <f t="shared" ref="AS76:AS112" si="81">AS75+1</f>
        <v>104</v>
      </c>
      <c r="AT76" s="60" t="e">
        <f t="shared" si="77"/>
        <v>#REF!</v>
      </c>
      <c r="AU76" s="60">
        <f t="shared" si="56"/>
        <v>0</v>
      </c>
      <c r="AV76" s="61" t="e">
        <f>IF(AX75=0,0,IF(AS76=$E$31,-#REF!*AR76,IF(AS76&lt;$E$31,0,IF(-AV75*AR76&gt;AX75,-AX75,AV75*AR76))))</f>
        <v>#REF!</v>
      </c>
      <c r="AW76" s="60" t="e">
        <f t="shared" si="68"/>
        <v>#REF!</v>
      </c>
      <c r="AX76" s="60" t="e">
        <f t="shared" si="69"/>
        <v>#REF!</v>
      </c>
      <c r="AY76" s="50" t="e">
        <f t="shared" si="70"/>
        <v>#REF!</v>
      </c>
      <c r="BB76" s="59">
        <f t="shared" si="57"/>
        <v>1</v>
      </c>
      <c r="BC76" s="50">
        <f t="shared" ref="BC76:BC112" si="82">BC75+1</f>
        <v>104</v>
      </c>
      <c r="BD76" s="60">
        <f t="shared" si="78"/>
        <v>0</v>
      </c>
      <c r="BE76" s="60">
        <f t="shared" si="58"/>
        <v>0</v>
      </c>
      <c r="BF76" s="61">
        <f t="shared" si="71"/>
        <v>0</v>
      </c>
      <c r="BG76" s="60">
        <f t="shared" si="72"/>
        <v>0</v>
      </c>
      <c r="BH76" s="60">
        <f t="shared" si="73"/>
        <v>0</v>
      </c>
      <c r="BI76" s="50">
        <f t="shared" si="74"/>
        <v>0</v>
      </c>
    </row>
    <row r="77" spans="1:61" x14ac:dyDescent="0.2">
      <c r="A77" s="13" t="s">
        <v>24</v>
      </c>
      <c r="B77" s="73">
        <v>0.37</v>
      </c>
      <c r="C77" s="68">
        <v>539901</v>
      </c>
      <c r="D77" s="68"/>
      <c r="E77" s="68">
        <f>IF($E$13="Single",IF($E$16&gt;D76,($E$16-D76),0),0)</f>
        <v>0</v>
      </c>
      <c r="F77" s="68">
        <f t="shared" si="49"/>
        <v>0</v>
      </c>
      <c r="G77" s="68">
        <f>IF($E$13="Single",IF($F$13&gt;D76,($F$13-D76),0),0)</f>
        <v>0</v>
      </c>
      <c r="H77" s="68">
        <f t="shared" si="50"/>
        <v>0</v>
      </c>
      <c r="I77" s="68"/>
      <c r="J77" s="4"/>
      <c r="K77" s="9"/>
      <c r="L77" s="9"/>
      <c r="M77" s="9"/>
      <c r="N77" s="9"/>
      <c r="O77" s="2"/>
      <c r="P77" s="53"/>
      <c r="Q77" s="59">
        <f t="shared" si="51"/>
        <v>1</v>
      </c>
      <c r="R77" s="59"/>
      <c r="S77" s="59"/>
      <c r="T77" s="59"/>
      <c r="U77" s="59"/>
      <c r="V77" s="59"/>
      <c r="W77" s="59"/>
      <c r="X77" s="50">
        <f t="shared" si="79"/>
        <v>105</v>
      </c>
      <c r="Y77" s="60">
        <f t="shared" si="75"/>
        <v>0</v>
      </c>
      <c r="Z77" s="60">
        <f t="shared" si="52"/>
        <v>0</v>
      </c>
      <c r="AA77" s="61">
        <f t="shared" si="59"/>
        <v>0</v>
      </c>
      <c r="AB77" s="60">
        <f t="shared" si="60"/>
        <v>0</v>
      </c>
      <c r="AC77" s="60">
        <f t="shared" si="61"/>
        <v>0</v>
      </c>
      <c r="AD77" s="61">
        <f t="shared" si="62"/>
        <v>0</v>
      </c>
      <c r="AE77" s="50">
        <f t="shared" si="63"/>
        <v>0</v>
      </c>
      <c r="AH77" s="59">
        <f t="shared" si="53"/>
        <v>1</v>
      </c>
      <c r="AI77" s="50">
        <f t="shared" si="80"/>
        <v>105</v>
      </c>
      <c r="AJ77" s="60">
        <f t="shared" si="76"/>
        <v>0</v>
      </c>
      <c r="AK77" s="60">
        <f t="shared" si="54"/>
        <v>0</v>
      </c>
      <c r="AL77" s="61">
        <f t="shared" si="64"/>
        <v>0</v>
      </c>
      <c r="AM77" s="60">
        <f t="shared" si="65"/>
        <v>0</v>
      </c>
      <c r="AN77" s="60">
        <f t="shared" si="66"/>
        <v>0</v>
      </c>
      <c r="AO77" s="50">
        <f t="shared" si="67"/>
        <v>0</v>
      </c>
      <c r="AR77" s="59">
        <f t="shared" si="55"/>
        <v>1</v>
      </c>
      <c r="AS77" s="50">
        <f t="shared" si="81"/>
        <v>105</v>
      </c>
      <c r="AT77" s="60" t="e">
        <f t="shared" si="77"/>
        <v>#REF!</v>
      </c>
      <c r="AU77" s="60">
        <f t="shared" si="56"/>
        <v>0</v>
      </c>
      <c r="AV77" s="61" t="e">
        <f>IF(AX76=0,0,IF(AS77=$E$31,-#REF!*AR77,IF(AS77&lt;$E$31,0,IF(-AV76*AR77&gt;AX76,-AX76,AV76*AR77))))</f>
        <v>#REF!</v>
      </c>
      <c r="AW77" s="60" t="e">
        <f t="shared" si="68"/>
        <v>#REF!</v>
      </c>
      <c r="AX77" s="60" t="e">
        <f t="shared" si="69"/>
        <v>#REF!</v>
      </c>
      <c r="AY77" s="50" t="e">
        <f t="shared" si="70"/>
        <v>#REF!</v>
      </c>
      <c r="BB77" s="59">
        <f t="shared" si="57"/>
        <v>1</v>
      </c>
      <c r="BC77" s="50">
        <f t="shared" si="82"/>
        <v>105</v>
      </c>
      <c r="BD77" s="60">
        <f t="shared" si="78"/>
        <v>0</v>
      </c>
      <c r="BE77" s="60">
        <f t="shared" si="58"/>
        <v>0</v>
      </c>
      <c r="BF77" s="61">
        <f t="shared" si="71"/>
        <v>0</v>
      </c>
      <c r="BG77" s="60">
        <f t="shared" si="72"/>
        <v>0</v>
      </c>
      <c r="BH77" s="60">
        <f t="shared" si="73"/>
        <v>0</v>
      </c>
      <c r="BI77" s="50">
        <f t="shared" si="74"/>
        <v>0</v>
      </c>
    </row>
    <row r="78" spans="1:61" x14ac:dyDescent="0.2">
      <c r="A78" s="13"/>
      <c r="B78" s="13"/>
      <c r="C78" s="13"/>
      <c r="D78" s="13"/>
      <c r="E78" s="17"/>
      <c r="F78" s="13"/>
      <c r="G78" s="13"/>
      <c r="H78" s="13"/>
      <c r="I78" s="13"/>
      <c r="K78" s="2"/>
      <c r="L78" s="2"/>
      <c r="M78" s="2"/>
      <c r="N78" s="2"/>
      <c r="O78" s="4"/>
      <c r="P78" s="53"/>
      <c r="Q78" s="59">
        <f t="shared" si="51"/>
        <v>1</v>
      </c>
      <c r="R78" s="59"/>
      <c r="S78" s="59"/>
      <c r="T78" s="59"/>
      <c r="U78" s="59"/>
      <c r="V78" s="59"/>
      <c r="W78" s="59"/>
      <c r="X78" s="50">
        <f t="shared" si="79"/>
        <v>106</v>
      </c>
      <c r="Y78" s="60">
        <f t="shared" si="75"/>
        <v>0</v>
      </c>
      <c r="Z78" s="60">
        <f t="shared" si="52"/>
        <v>0</v>
      </c>
      <c r="AA78" s="61">
        <f t="shared" si="59"/>
        <v>0</v>
      </c>
      <c r="AB78" s="60">
        <f t="shared" si="60"/>
        <v>0</v>
      </c>
      <c r="AC78" s="60">
        <f t="shared" si="61"/>
        <v>0</v>
      </c>
      <c r="AD78" s="61">
        <f t="shared" si="62"/>
        <v>0</v>
      </c>
      <c r="AE78" s="50">
        <f t="shared" si="63"/>
        <v>0</v>
      </c>
      <c r="AH78" s="59">
        <f t="shared" si="53"/>
        <v>1</v>
      </c>
      <c r="AI78" s="50">
        <f t="shared" si="80"/>
        <v>106</v>
      </c>
      <c r="AJ78" s="60">
        <f t="shared" si="76"/>
        <v>0</v>
      </c>
      <c r="AK78" s="60">
        <f t="shared" si="54"/>
        <v>0</v>
      </c>
      <c r="AL78" s="61">
        <f t="shared" si="64"/>
        <v>0</v>
      </c>
      <c r="AM78" s="60">
        <f t="shared" si="65"/>
        <v>0</v>
      </c>
      <c r="AN78" s="60">
        <f t="shared" si="66"/>
        <v>0</v>
      </c>
      <c r="AO78" s="50">
        <f t="shared" si="67"/>
        <v>0</v>
      </c>
      <c r="AR78" s="59">
        <f t="shared" si="55"/>
        <v>1</v>
      </c>
      <c r="AS78" s="50">
        <f t="shared" si="81"/>
        <v>106</v>
      </c>
      <c r="AT78" s="60" t="e">
        <f t="shared" si="77"/>
        <v>#REF!</v>
      </c>
      <c r="AU78" s="60">
        <f t="shared" si="56"/>
        <v>0</v>
      </c>
      <c r="AV78" s="61" t="e">
        <f>IF(AX77=0,0,IF(AS78=$E$31,-#REF!*AR78,IF(AS78&lt;$E$31,0,IF(-AV77*AR78&gt;AX77,-AX77,AV77*AR78))))</f>
        <v>#REF!</v>
      </c>
      <c r="AW78" s="60" t="e">
        <f t="shared" si="68"/>
        <v>#REF!</v>
      </c>
      <c r="AX78" s="60" t="e">
        <f t="shared" si="69"/>
        <v>#REF!</v>
      </c>
      <c r="AY78" s="50" t="e">
        <f t="shared" si="70"/>
        <v>#REF!</v>
      </c>
      <c r="BB78" s="59">
        <f t="shared" si="57"/>
        <v>1</v>
      </c>
      <c r="BC78" s="50">
        <f t="shared" si="82"/>
        <v>106</v>
      </c>
      <c r="BD78" s="60">
        <f t="shared" si="78"/>
        <v>0</v>
      </c>
      <c r="BE78" s="60">
        <f t="shared" si="58"/>
        <v>0</v>
      </c>
      <c r="BF78" s="61">
        <f t="shared" si="71"/>
        <v>0</v>
      </c>
      <c r="BG78" s="60">
        <f t="shared" si="72"/>
        <v>0</v>
      </c>
      <c r="BH78" s="60">
        <f t="shared" si="73"/>
        <v>0</v>
      </c>
      <c r="BI78" s="50">
        <f t="shared" si="74"/>
        <v>0</v>
      </c>
    </row>
    <row r="79" spans="1:61" x14ac:dyDescent="0.2">
      <c r="A79" s="13"/>
      <c r="B79" s="13"/>
      <c r="C79" s="13"/>
      <c r="D79" s="13"/>
      <c r="E79" s="71" t="s">
        <v>11</v>
      </c>
      <c r="F79" s="69">
        <f>SUM(F71:F77)</f>
        <v>0</v>
      </c>
      <c r="G79" s="71" t="s">
        <v>11</v>
      </c>
      <c r="H79" s="69">
        <f>SUM(H71:H77)</f>
        <v>0</v>
      </c>
      <c r="I79" s="69"/>
      <c r="J79" s="6"/>
      <c r="K79" s="4"/>
      <c r="L79" s="4"/>
      <c r="M79" s="4"/>
      <c r="N79" s="4"/>
      <c r="O79" s="4"/>
      <c r="P79" s="53"/>
      <c r="Q79" s="59">
        <f t="shared" si="51"/>
        <v>1</v>
      </c>
      <c r="R79" s="59"/>
      <c r="S79" s="59"/>
      <c r="T79" s="59"/>
      <c r="U79" s="59"/>
      <c r="V79" s="59"/>
      <c r="W79" s="59"/>
      <c r="X79" s="50">
        <f t="shared" si="79"/>
        <v>107</v>
      </c>
      <c r="Y79" s="60">
        <f t="shared" si="75"/>
        <v>0</v>
      </c>
      <c r="Z79" s="60">
        <f t="shared" si="52"/>
        <v>0</v>
      </c>
      <c r="AA79" s="61">
        <f t="shared" si="59"/>
        <v>0</v>
      </c>
      <c r="AB79" s="60">
        <f t="shared" si="60"/>
        <v>0</v>
      </c>
      <c r="AC79" s="60">
        <f t="shared" si="61"/>
        <v>0</v>
      </c>
      <c r="AD79" s="61">
        <f t="shared" si="62"/>
        <v>0</v>
      </c>
      <c r="AE79" s="50">
        <f t="shared" si="63"/>
        <v>0</v>
      </c>
      <c r="AH79" s="59">
        <f t="shared" si="53"/>
        <v>1</v>
      </c>
      <c r="AI79" s="50">
        <f t="shared" si="80"/>
        <v>107</v>
      </c>
      <c r="AJ79" s="60">
        <f t="shared" si="76"/>
        <v>0</v>
      </c>
      <c r="AK79" s="60">
        <f t="shared" si="54"/>
        <v>0</v>
      </c>
      <c r="AL79" s="61">
        <f t="shared" si="64"/>
        <v>0</v>
      </c>
      <c r="AM79" s="60">
        <f t="shared" si="65"/>
        <v>0</v>
      </c>
      <c r="AN79" s="60">
        <f t="shared" si="66"/>
        <v>0</v>
      </c>
      <c r="AO79" s="50">
        <f t="shared" si="67"/>
        <v>0</v>
      </c>
      <c r="AR79" s="59">
        <f t="shared" si="55"/>
        <v>1</v>
      </c>
      <c r="AS79" s="50">
        <f t="shared" si="81"/>
        <v>107</v>
      </c>
      <c r="AT79" s="60" t="e">
        <f t="shared" si="77"/>
        <v>#REF!</v>
      </c>
      <c r="AU79" s="60">
        <f t="shared" si="56"/>
        <v>0</v>
      </c>
      <c r="AV79" s="61" t="e">
        <f>IF(AX78=0,0,IF(AS79=$E$31,-#REF!*AR79,IF(AS79&lt;$E$31,0,IF(-AV78*AR79&gt;AX78,-AX78,AV78*AR79))))</f>
        <v>#REF!</v>
      </c>
      <c r="AW79" s="60" t="e">
        <f t="shared" si="68"/>
        <v>#REF!</v>
      </c>
      <c r="AX79" s="60" t="e">
        <f t="shared" si="69"/>
        <v>#REF!</v>
      </c>
      <c r="AY79" s="50" t="e">
        <f t="shared" si="70"/>
        <v>#REF!</v>
      </c>
      <c r="BB79" s="59">
        <f t="shared" si="57"/>
        <v>1</v>
      </c>
      <c r="BC79" s="50">
        <f t="shared" si="82"/>
        <v>107</v>
      </c>
      <c r="BD79" s="60">
        <f t="shared" si="78"/>
        <v>0</v>
      </c>
      <c r="BE79" s="60">
        <f t="shared" si="58"/>
        <v>0</v>
      </c>
      <c r="BF79" s="61">
        <f t="shared" si="71"/>
        <v>0</v>
      </c>
      <c r="BG79" s="60">
        <f t="shared" si="72"/>
        <v>0</v>
      </c>
      <c r="BH79" s="60">
        <f t="shared" si="73"/>
        <v>0</v>
      </c>
      <c r="BI79" s="50">
        <f t="shared" si="74"/>
        <v>0</v>
      </c>
    </row>
    <row r="80" spans="1:61" x14ac:dyDescent="0.2">
      <c r="A80" s="13"/>
      <c r="B80" s="13"/>
      <c r="C80" s="13"/>
      <c r="D80" s="13"/>
      <c r="E80" s="17"/>
      <c r="F80" s="13"/>
      <c r="G80" s="13"/>
      <c r="H80" s="13"/>
      <c r="I80" s="13"/>
      <c r="K80" s="4"/>
      <c r="L80" s="4"/>
      <c r="M80" s="4"/>
      <c r="N80" s="4"/>
      <c r="O80" s="4"/>
      <c r="P80" s="53"/>
      <c r="Q80" s="59">
        <f t="shared" si="51"/>
        <v>1</v>
      </c>
      <c r="R80" s="59"/>
      <c r="S80" s="59"/>
      <c r="T80" s="59"/>
      <c r="U80" s="59"/>
      <c r="V80" s="59"/>
      <c r="W80" s="59"/>
      <c r="X80" s="50">
        <f t="shared" si="79"/>
        <v>108</v>
      </c>
      <c r="Y80" s="60">
        <f t="shared" si="75"/>
        <v>0</v>
      </c>
      <c r="Z80" s="60">
        <f t="shared" si="52"/>
        <v>0</v>
      </c>
      <c r="AA80" s="61">
        <f t="shared" si="59"/>
        <v>0</v>
      </c>
      <c r="AB80" s="60">
        <f t="shared" si="60"/>
        <v>0</v>
      </c>
      <c r="AC80" s="60">
        <f t="shared" si="61"/>
        <v>0</v>
      </c>
      <c r="AD80" s="61">
        <f t="shared" si="62"/>
        <v>0</v>
      </c>
      <c r="AE80" s="50">
        <f t="shared" si="63"/>
        <v>0</v>
      </c>
      <c r="AH80" s="59">
        <f t="shared" si="53"/>
        <v>1</v>
      </c>
      <c r="AI80" s="50">
        <f t="shared" si="80"/>
        <v>108</v>
      </c>
      <c r="AJ80" s="60">
        <f t="shared" si="76"/>
        <v>0</v>
      </c>
      <c r="AK80" s="60">
        <f t="shared" si="54"/>
        <v>0</v>
      </c>
      <c r="AL80" s="61">
        <f t="shared" si="64"/>
        <v>0</v>
      </c>
      <c r="AM80" s="60">
        <f t="shared" si="65"/>
        <v>0</v>
      </c>
      <c r="AN80" s="60">
        <f t="shared" si="66"/>
        <v>0</v>
      </c>
      <c r="AO80" s="50">
        <f t="shared" si="67"/>
        <v>0</v>
      </c>
      <c r="AR80" s="59">
        <f t="shared" si="55"/>
        <v>1</v>
      </c>
      <c r="AS80" s="50">
        <f t="shared" si="81"/>
        <v>108</v>
      </c>
      <c r="AT80" s="60" t="e">
        <f t="shared" si="77"/>
        <v>#REF!</v>
      </c>
      <c r="AU80" s="60">
        <f t="shared" si="56"/>
        <v>0</v>
      </c>
      <c r="AV80" s="61" t="e">
        <f>IF(AX79=0,0,IF(AS80=$E$31,-#REF!*AR80,IF(AS80&lt;$E$31,0,IF(-AV79*AR80&gt;AX79,-AX79,AV79*AR80))))</f>
        <v>#REF!</v>
      </c>
      <c r="AW80" s="60" t="e">
        <f t="shared" si="68"/>
        <v>#REF!</v>
      </c>
      <c r="AX80" s="60" t="e">
        <f t="shared" si="69"/>
        <v>#REF!</v>
      </c>
      <c r="AY80" s="50" t="e">
        <f t="shared" si="70"/>
        <v>#REF!</v>
      </c>
      <c r="BB80" s="59">
        <f t="shared" si="57"/>
        <v>1</v>
      </c>
      <c r="BC80" s="50">
        <f t="shared" si="82"/>
        <v>108</v>
      </c>
      <c r="BD80" s="60">
        <f t="shared" si="78"/>
        <v>0</v>
      </c>
      <c r="BE80" s="60">
        <f t="shared" si="58"/>
        <v>0</v>
      </c>
      <c r="BF80" s="61">
        <f t="shared" si="71"/>
        <v>0</v>
      </c>
      <c r="BG80" s="60">
        <f t="shared" si="72"/>
        <v>0</v>
      </c>
      <c r="BH80" s="60">
        <f t="shared" si="73"/>
        <v>0</v>
      </c>
      <c r="BI80" s="50">
        <f t="shared" si="74"/>
        <v>0</v>
      </c>
    </row>
    <row r="81" spans="1:61" x14ac:dyDescent="0.2">
      <c r="A81" s="13"/>
      <c r="B81" s="13"/>
      <c r="C81" s="13"/>
      <c r="D81" s="13"/>
      <c r="E81" s="17"/>
      <c r="F81" s="13"/>
      <c r="G81" s="13"/>
      <c r="H81" s="13"/>
      <c r="I81" s="13"/>
      <c r="K81" s="4"/>
      <c r="L81" s="4"/>
      <c r="M81" s="4"/>
      <c r="N81" s="4"/>
      <c r="O81" s="4"/>
      <c r="P81" s="53"/>
      <c r="Q81" s="59">
        <f t="shared" si="51"/>
        <v>1</v>
      </c>
      <c r="R81" s="59"/>
      <c r="S81" s="59"/>
      <c r="T81" s="59"/>
      <c r="U81" s="59"/>
      <c r="V81" s="59"/>
      <c r="W81" s="59"/>
      <c r="X81" s="50">
        <f t="shared" si="79"/>
        <v>109</v>
      </c>
      <c r="Y81" s="60">
        <f t="shared" si="75"/>
        <v>0</v>
      </c>
      <c r="Z81" s="60">
        <f t="shared" si="52"/>
        <v>0</v>
      </c>
      <c r="AA81" s="61">
        <f t="shared" si="59"/>
        <v>0</v>
      </c>
      <c r="AB81" s="60">
        <f t="shared" si="60"/>
        <v>0</v>
      </c>
      <c r="AC81" s="60">
        <f t="shared" si="61"/>
        <v>0</v>
      </c>
      <c r="AD81" s="61">
        <f t="shared" si="62"/>
        <v>0</v>
      </c>
      <c r="AE81" s="50">
        <f t="shared" si="63"/>
        <v>0</v>
      </c>
      <c r="AH81" s="59">
        <f t="shared" si="53"/>
        <v>1</v>
      </c>
      <c r="AI81" s="50">
        <f t="shared" si="80"/>
        <v>109</v>
      </c>
      <c r="AJ81" s="60">
        <f t="shared" si="76"/>
        <v>0</v>
      </c>
      <c r="AK81" s="60">
        <f t="shared" si="54"/>
        <v>0</v>
      </c>
      <c r="AL81" s="61">
        <f t="shared" si="64"/>
        <v>0</v>
      </c>
      <c r="AM81" s="60">
        <f t="shared" si="65"/>
        <v>0</v>
      </c>
      <c r="AN81" s="60">
        <f t="shared" si="66"/>
        <v>0</v>
      </c>
      <c r="AO81" s="50">
        <f t="shared" si="67"/>
        <v>0</v>
      </c>
      <c r="AR81" s="59">
        <f t="shared" si="55"/>
        <v>1</v>
      </c>
      <c r="AS81" s="50">
        <f t="shared" si="81"/>
        <v>109</v>
      </c>
      <c r="AT81" s="60" t="e">
        <f t="shared" si="77"/>
        <v>#REF!</v>
      </c>
      <c r="AU81" s="60">
        <f t="shared" si="56"/>
        <v>0</v>
      </c>
      <c r="AV81" s="61" t="e">
        <f>IF(AX80=0,0,IF(AS81=$E$31,-#REF!*AR81,IF(AS81&lt;$E$31,0,IF(-AV80*AR81&gt;AX80,-AX80,AV80*AR81))))</f>
        <v>#REF!</v>
      </c>
      <c r="AW81" s="60" t="e">
        <f t="shared" si="68"/>
        <v>#REF!</v>
      </c>
      <c r="AX81" s="60" t="e">
        <f t="shared" si="69"/>
        <v>#REF!</v>
      </c>
      <c r="AY81" s="50" t="e">
        <f t="shared" si="70"/>
        <v>#REF!</v>
      </c>
      <c r="BB81" s="59">
        <f t="shared" si="57"/>
        <v>1</v>
      </c>
      <c r="BC81" s="50">
        <f t="shared" si="82"/>
        <v>109</v>
      </c>
      <c r="BD81" s="60">
        <f t="shared" si="78"/>
        <v>0</v>
      </c>
      <c r="BE81" s="60">
        <f t="shared" si="58"/>
        <v>0</v>
      </c>
      <c r="BF81" s="61">
        <f t="shared" si="71"/>
        <v>0</v>
      </c>
      <c r="BG81" s="60">
        <f t="shared" si="72"/>
        <v>0</v>
      </c>
      <c r="BH81" s="60">
        <f t="shared" si="73"/>
        <v>0</v>
      </c>
      <c r="BI81" s="50">
        <f t="shared" si="74"/>
        <v>0</v>
      </c>
    </row>
    <row r="82" spans="1:61" x14ac:dyDescent="0.2">
      <c r="A82" s="13"/>
      <c r="B82" s="13" t="s">
        <v>10</v>
      </c>
      <c r="C82" s="13"/>
      <c r="D82" s="13"/>
      <c r="E82" s="17" t="s">
        <v>21</v>
      </c>
      <c r="F82" s="72">
        <v>27700</v>
      </c>
      <c r="G82" s="72"/>
      <c r="H82" s="72"/>
      <c r="I82" s="72"/>
      <c r="J82" s="9"/>
      <c r="K82" s="4"/>
      <c r="L82" s="4"/>
      <c r="M82" s="4"/>
      <c r="N82" s="4"/>
      <c r="O82" s="4"/>
      <c r="P82" s="53"/>
      <c r="Q82" s="59">
        <f t="shared" si="51"/>
        <v>1</v>
      </c>
      <c r="R82" s="59"/>
      <c r="S82" s="59"/>
      <c r="T82" s="59"/>
      <c r="U82" s="59"/>
      <c r="V82" s="59"/>
      <c r="W82" s="59"/>
      <c r="X82" s="50">
        <f t="shared" si="79"/>
        <v>110</v>
      </c>
      <c r="Y82" s="60">
        <f t="shared" si="75"/>
        <v>0</v>
      </c>
      <c r="Z82" s="60">
        <f t="shared" si="52"/>
        <v>0</v>
      </c>
      <c r="AA82" s="61">
        <f t="shared" si="59"/>
        <v>0</v>
      </c>
      <c r="AB82" s="60">
        <f t="shared" si="60"/>
        <v>0</v>
      </c>
      <c r="AC82" s="60">
        <f t="shared" si="61"/>
        <v>0</v>
      </c>
      <c r="AD82" s="61">
        <f t="shared" si="62"/>
        <v>0</v>
      </c>
      <c r="AE82" s="50">
        <f t="shared" si="63"/>
        <v>0</v>
      </c>
      <c r="AH82" s="59">
        <f t="shared" si="53"/>
        <v>1</v>
      </c>
      <c r="AI82" s="50">
        <f t="shared" si="80"/>
        <v>110</v>
      </c>
      <c r="AJ82" s="60">
        <f t="shared" si="76"/>
        <v>0</v>
      </c>
      <c r="AK82" s="60">
        <f t="shared" si="54"/>
        <v>0</v>
      </c>
      <c r="AL82" s="61">
        <f t="shared" si="64"/>
        <v>0</v>
      </c>
      <c r="AM82" s="60">
        <f t="shared" si="65"/>
        <v>0</v>
      </c>
      <c r="AN82" s="60">
        <f t="shared" si="66"/>
        <v>0</v>
      </c>
      <c r="AO82" s="50">
        <f t="shared" si="67"/>
        <v>0</v>
      </c>
      <c r="AR82" s="59">
        <f t="shared" si="55"/>
        <v>1</v>
      </c>
      <c r="AS82" s="50">
        <f t="shared" si="81"/>
        <v>110</v>
      </c>
      <c r="AT82" s="60" t="e">
        <f t="shared" si="77"/>
        <v>#REF!</v>
      </c>
      <c r="AU82" s="60">
        <f t="shared" si="56"/>
        <v>0</v>
      </c>
      <c r="AV82" s="61" t="e">
        <f>IF(AX81=0,0,IF(AS82=$E$31,-#REF!*AR82,IF(AS82&lt;$E$31,0,IF(-AV81*AR82&gt;AX81,-AX81,AV81*AR82))))</f>
        <v>#REF!</v>
      </c>
      <c r="AW82" s="60" t="e">
        <f t="shared" si="68"/>
        <v>#REF!</v>
      </c>
      <c r="AX82" s="60" t="e">
        <f t="shared" si="69"/>
        <v>#REF!</v>
      </c>
      <c r="AY82" s="50" t="e">
        <f t="shared" si="70"/>
        <v>#REF!</v>
      </c>
      <c r="BB82" s="59">
        <f t="shared" si="57"/>
        <v>1</v>
      </c>
      <c r="BC82" s="50">
        <f t="shared" si="82"/>
        <v>110</v>
      </c>
      <c r="BD82" s="60">
        <f t="shared" si="78"/>
        <v>0</v>
      </c>
      <c r="BE82" s="60">
        <f t="shared" si="58"/>
        <v>0</v>
      </c>
      <c r="BF82" s="61">
        <f t="shared" si="71"/>
        <v>0</v>
      </c>
      <c r="BG82" s="60">
        <f t="shared" si="72"/>
        <v>0</v>
      </c>
      <c r="BH82" s="60">
        <f t="shared" si="73"/>
        <v>0</v>
      </c>
      <c r="BI82" s="50">
        <f t="shared" si="74"/>
        <v>0</v>
      </c>
    </row>
    <row r="83" spans="1:61" x14ac:dyDescent="0.2">
      <c r="A83" s="13"/>
      <c r="B83" s="67" t="s">
        <v>4</v>
      </c>
      <c r="C83" s="67" t="s">
        <v>7</v>
      </c>
      <c r="D83" s="67" t="s">
        <v>8</v>
      </c>
      <c r="E83" s="67" t="s">
        <v>65</v>
      </c>
      <c r="F83" s="67" t="s">
        <v>9</v>
      </c>
      <c r="G83" s="67" t="s">
        <v>34</v>
      </c>
      <c r="H83" s="67" t="s">
        <v>5</v>
      </c>
      <c r="I83" s="67"/>
      <c r="J83" s="2"/>
      <c r="K83" s="4"/>
      <c r="L83" s="4"/>
      <c r="M83" s="4"/>
      <c r="N83" s="4"/>
      <c r="O83" s="4"/>
      <c r="P83" s="53"/>
      <c r="Q83" s="59">
        <f t="shared" si="51"/>
        <v>1</v>
      </c>
      <c r="R83" s="59"/>
      <c r="S83" s="59"/>
      <c r="T83" s="59"/>
      <c r="U83" s="59"/>
      <c r="V83" s="59"/>
      <c r="W83" s="59"/>
      <c r="X83" s="50">
        <f t="shared" si="79"/>
        <v>111</v>
      </c>
      <c r="Y83" s="60">
        <f t="shared" si="75"/>
        <v>0</v>
      </c>
      <c r="Z83" s="60">
        <f t="shared" si="52"/>
        <v>0</v>
      </c>
      <c r="AA83" s="61">
        <f t="shared" si="59"/>
        <v>0</v>
      </c>
      <c r="AB83" s="60">
        <f t="shared" si="60"/>
        <v>0</v>
      </c>
      <c r="AC83" s="60">
        <f t="shared" si="61"/>
        <v>0</v>
      </c>
      <c r="AD83" s="61">
        <f t="shared" si="62"/>
        <v>0</v>
      </c>
      <c r="AE83" s="50">
        <f t="shared" si="63"/>
        <v>0</v>
      </c>
      <c r="AH83" s="59">
        <f t="shared" si="53"/>
        <v>1</v>
      </c>
      <c r="AI83" s="50">
        <f t="shared" si="80"/>
        <v>111</v>
      </c>
      <c r="AJ83" s="60">
        <f t="shared" si="76"/>
        <v>0</v>
      </c>
      <c r="AK83" s="60">
        <f t="shared" si="54"/>
        <v>0</v>
      </c>
      <c r="AL83" s="61">
        <f t="shared" si="64"/>
        <v>0</v>
      </c>
      <c r="AM83" s="60">
        <f t="shared" si="65"/>
        <v>0</v>
      </c>
      <c r="AN83" s="60">
        <f t="shared" si="66"/>
        <v>0</v>
      </c>
      <c r="AO83" s="50">
        <f t="shared" si="67"/>
        <v>0</v>
      </c>
      <c r="AR83" s="59">
        <f t="shared" si="55"/>
        <v>1</v>
      </c>
      <c r="AS83" s="50">
        <f t="shared" si="81"/>
        <v>111</v>
      </c>
      <c r="AT83" s="60" t="e">
        <f t="shared" si="77"/>
        <v>#REF!</v>
      </c>
      <c r="AU83" s="60">
        <f t="shared" si="56"/>
        <v>0</v>
      </c>
      <c r="AV83" s="61" t="e">
        <f>IF(AX82=0,0,IF(AS83=$E$31,-#REF!*AR83,IF(AS83&lt;$E$31,0,IF(-AV82*AR83&gt;AX82,-AX82,AV82*AR83))))</f>
        <v>#REF!</v>
      </c>
      <c r="AW83" s="60" t="e">
        <f t="shared" si="68"/>
        <v>#REF!</v>
      </c>
      <c r="AX83" s="60" t="e">
        <f t="shared" si="69"/>
        <v>#REF!</v>
      </c>
      <c r="AY83" s="50" t="e">
        <f t="shared" si="70"/>
        <v>#REF!</v>
      </c>
      <c r="BB83" s="59">
        <f t="shared" si="57"/>
        <v>1</v>
      </c>
      <c r="BC83" s="50">
        <f t="shared" si="82"/>
        <v>111</v>
      </c>
      <c r="BD83" s="60">
        <f t="shared" si="78"/>
        <v>0</v>
      </c>
      <c r="BE83" s="60">
        <f t="shared" si="58"/>
        <v>0</v>
      </c>
      <c r="BF83" s="61">
        <f t="shared" si="71"/>
        <v>0</v>
      </c>
      <c r="BG83" s="60">
        <f t="shared" si="72"/>
        <v>0</v>
      </c>
      <c r="BH83" s="60">
        <f t="shared" si="73"/>
        <v>0</v>
      </c>
      <c r="BI83" s="50">
        <f t="shared" si="74"/>
        <v>0</v>
      </c>
    </row>
    <row r="84" spans="1:61" x14ac:dyDescent="0.2">
      <c r="A84" s="13" t="s">
        <v>25</v>
      </c>
      <c r="B84" s="73">
        <v>0.1</v>
      </c>
      <c r="C84" s="68">
        <v>0</v>
      </c>
      <c r="D84" s="68">
        <v>20550</v>
      </c>
      <c r="E84" s="68">
        <f>IF($E$13="Married",IF($E$16&gt;D84,D84,$E$16),0)</f>
        <v>20550</v>
      </c>
      <c r="F84" s="68">
        <f>E84*B84</f>
        <v>2055</v>
      </c>
      <c r="G84" s="68">
        <f>IF($E$13="Married",IF($F$13&gt;D84,D84,$F$13),0)</f>
        <v>20550</v>
      </c>
      <c r="H84" s="68">
        <f t="shared" ref="H84:H90" si="83">G84*B84</f>
        <v>2055</v>
      </c>
      <c r="I84" s="68"/>
      <c r="J84" s="4"/>
      <c r="K84" s="4"/>
      <c r="L84" s="4"/>
      <c r="M84" s="4"/>
      <c r="N84" s="4"/>
      <c r="O84" s="4"/>
      <c r="Q84" s="59">
        <f t="shared" si="51"/>
        <v>1</v>
      </c>
      <c r="R84" s="59"/>
      <c r="S84" s="59"/>
      <c r="T84" s="59"/>
      <c r="U84" s="59"/>
      <c r="V84" s="59"/>
      <c r="W84" s="59"/>
      <c r="X84" s="50">
        <f t="shared" si="79"/>
        <v>112</v>
      </c>
      <c r="Y84" s="60">
        <f t="shared" si="75"/>
        <v>0</v>
      </c>
      <c r="Z84" s="60">
        <f t="shared" si="52"/>
        <v>0</v>
      </c>
      <c r="AA84" s="61">
        <f t="shared" si="59"/>
        <v>0</v>
      </c>
      <c r="AB84" s="60">
        <f t="shared" si="60"/>
        <v>0</v>
      </c>
      <c r="AC84" s="60">
        <f t="shared" si="61"/>
        <v>0</v>
      </c>
      <c r="AD84" s="61">
        <f t="shared" si="62"/>
        <v>0</v>
      </c>
      <c r="AE84" s="50">
        <f t="shared" si="63"/>
        <v>0</v>
      </c>
      <c r="AH84" s="59">
        <f t="shared" si="53"/>
        <v>1</v>
      </c>
      <c r="AI84" s="50">
        <f t="shared" si="80"/>
        <v>112</v>
      </c>
      <c r="AJ84" s="60">
        <f t="shared" si="76"/>
        <v>0</v>
      </c>
      <c r="AK84" s="60">
        <f t="shared" si="54"/>
        <v>0</v>
      </c>
      <c r="AL84" s="61">
        <f t="shared" si="64"/>
        <v>0</v>
      </c>
      <c r="AM84" s="60">
        <f t="shared" si="65"/>
        <v>0</v>
      </c>
      <c r="AN84" s="60">
        <f t="shared" si="66"/>
        <v>0</v>
      </c>
      <c r="AO84" s="50">
        <f t="shared" si="67"/>
        <v>0</v>
      </c>
      <c r="AR84" s="59">
        <f t="shared" si="55"/>
        <v>1</v>
      </c>
      <c r="AS84" s="50">
        <f t="shared" si="81"/>
        <v>112</v>
      </c>
      <c r="AT84" s="60" t="e">
        <f t="shared" si="77"/>
        <v>#REF!</v>
      </c>
      <c r="AU84" s="60">
        <f t="shared" si="56"/>
        <v>0</v>
      </c>
      <c r="AV84" s="61" t="e">
        <f>IF(AX83=0,0,IF(AS84=$E$31,-#REF!*AR84,IF(AS84&lt;$E$31,0,IF(-AV83*AR84&gt;AX83,-AX83,AV83*AR84))))</f>
        <v>#REF!</v>
      </c>
      <c r="AW84" s="60" t="e">
        <f t="shared" si="68"/>
        <v>#REF!</v>
      </c>
      <c r="AX84" s="60" t="e">
        <f t="shared" si="69"/>
        <v>#REF!</v>
      </c>
      <c r="AY84" s="50" t="e">
        <f t="shared" si="70"/>
        <v>#REF!</v>
      </c>
      <c r="BB84" s="59">
        <f t="shared" si="57"/>
        <v>1</v>
      </c>
      <c r="BC84" s="50">
        <f t="shared" si="82"/>
        <v>112</v>
      </c>
      <c r="BD84" s="60">
        <f t="shared" si="78"/>
        <v>0</v>
      </c>
      <c r="BE84" s="60">
        <f t="shared" si="58"/>
        <v>0</v>
      </c>
      <c r="BF84" s="61">
        <f t="shared" si="71"/>
        <v>0</v>
      </c>
      <c r="BG84" s="60">
        <f t="shared" si="72"/>
        <v>0</v>
      </c>
      <c r="BH84" s="60">
        <f t="shared" si="73"/>
        <v>0</v>
      </c>
      <c r="BI84" s="50">
        <f t="shared" si="74"/>
        <v>0</v>
      </c>
    </row>
    <row r="85" spans="1:61" x14ac:dyDescent="0.2">
      <c r="A85" s="13" t="s">
        <v>25</v>
      </c>
      <c r="B85" s="73">
        <v>0.12</v>
      </c>
      <c r="C85" s="68">
        <v>20551</v>
      </c>
      <c r="D85" s="68">
        <v>83550</v>
      </c>
      <c r="E85" s="68">
        <f>IF($E$13="Married",IF($E$16&gt;D85,(D85-D84),($E$16-E84)),0)</f>
        <v>63000</v>
      </c>
      <c r="F85" s="68">
        <f t="shared" ref="F85:F90" si="84">E85*B85</f>
        <v>7560</v>
      </c>
      <c r="G85" s="68">
        <f>IF($E$13="Married",IF($F$13&gt;D85,(D85-D84),($F$13-G84)),0)</f>
        <v>63000</v>
      </c>
      <c r="H85" s="68">
        <f t="shared" si="83"/>
        <v>7560</v>
      </c>
      <c r="I85" s="68"/>
      <c r="J85" s="4"/>
      <c r="K85" s="4"/>
      <c r="L85" s="4"/>
      <c r="M85" s="4"/>
      <c r="N85" s="4"/>
      <c r="P85" s="54"/>
      <c r="Q85" s="59">
        <f t="shared" si="51"/>
        <v>1</v>
      </c>
      <c r="R85" s="59"/>
      <c r="S85" s="59"/>
      <c r="T85" s="59"/>
      <c r="U85" s="59"/>
      <c r="V85" s="59"/>
      <c r="W85" s="59"/>
      <c r="X85" s="50">
        <f t="shared" si="79"/>
        <v>113</v>
      </c>
      <c r="Y85" s="60">
        <f t="shared" si="75"/>
        <v>0</v>
      </c>
      <c r="Z85" s="60">
        <f t="shared" si="52"/>
        <v>0</v>
      </c>
      <c r="AA85" s="61">
        <f t="shared" si="59"/>
        <v>0</v>
      </c>
      <c r="AB85" s="60">
        <f t="shared" si="60"/>
        <v>0</v>
      </c>
      <c r="AC85" s="60">
        <f t="shared" si="61"/>
        <v>0</v>
      </c>
      <c r="AD85" s="61">
        <f t="shared" si="62"/>
        <v>0</v>
      </c>
      <c r="AE85" s="50">
        <f t="shared" si="63"/>
        <v>0</v>
      </c>
      <c r="AH85" s="59">
        <f t="shared" si="53"/>
        <v>1</v>
      </c>
      <c r="AI85" s="50">
        <f t="shared" si="80"/>
        <v>113</v>
      </c>
      <c r="AJ85" s="60">
        <f t="shared" si="76"/>
        <v>0</v>
      </c>
      <c r="AK85" s="60">
        <f t="shared" si="54"/>
        <v>0</v>
      </c>
      <c r="AL85" s="61">
        <f t="shared" si="64"/>
        <v>0</v>
      </c>
      <c r="AM85" s="60">
        <f t="shared" si="65"/>
        <v>0</v>
      </c>
      <c r="AN85" s="60">
        <f t="shared" si="66"/>
        <v>0</v>
      </c>
      <c r="AO85" s="50">
        <f t="shared" si="67"/>
        <v>0</v>
      </c>
      <c r="AR85" s="59">
        <f t="shared" si="55"/>
        <v>1</v>
      </c>
      <c r="AS85" s="50">
        <f t="shared" si="81"/>
        <v>113</v>
      </c>
      <c r="AT85" s="60" t="e">
        <f t="shared" si="77"/>
        <v>#REF!</v>
      </c>
      <c r="AU85" s="60">
        <f t="shared" si="56"/>
        <v>0</v>
      </c>
      <c r="AV85" s="61" t="e">
        <f>IF(AX84=0,0,IF(AS85=$E$31,-#REF!*AR85,IF(AS85&lt;$E$31,0,IF(-AV84*AR85&gt;AX84,-AX84,AV84*AR85))))</f>
        <v>#REF!</v>
      </c>
      <c r="AW85" s="60" t="e">
        <f t="shared" si="68"/>
        <v>#REF!</v>
      </c>
      <c r="AX85" s="60" t="e">
        <f t="shared" si="69"/>
        <v>#REF!</v>
      </c>
      <c r="AY85" s="50" t="e">
        <f t="shared" si="70"/>
        <v>#REF!</v>
      </c>
      <c r="BB85" s="59">
        <f t="shared" si="57"/>
        <v>1</v>
      </c>
      <c r="BC85" s="50">
        <f t="shared" si="82"/>
        <v>113</v>
      </c>
      <c r="BD85" s="60">
        <f t="shared" si="78"/>
        <v>0</v>
      </c>
      <c r="BE85" s="60">
        <f t="shared" si="58"/>
        <v>0</v>
      </c>
      <c r="BF85" s="61">
        <f t="shared" si="71"/>
        <v>0</v>
      </c>
      <c r="BG85" s="60">
        <f t="shared" si="72"/>
        <v>0</v>
      </c>
      <c r="BH85" s="60">
        <f t="shared" si="73"/>
        <v>0</v>
      </c>
      <c r="BI85" s="50">
        <f t="shared" si="74"/>
        <v>0</v>
      </c>
    </row>
    <row r="86" spans="1:61" x14ac:dyDescent="0.2">
      <c r="A86" s="13" t="s">
        <v>25</v>
      </c>
      <c r="B86" s="73">
        <v>0.22</v>
      </c>
      <c r="C86" s="68">
        <v>83551</v>
      </c>
      <c r="D86" s="68">
        <v>178150</v>
      </c>
      <c r="E86" s="68">
        <f>IF($E$13="Married",IF($E$16&gt;D86,(D86-D85),($E$16-E85-E84)),0)</f>
        <v>38750</v>
      </c>
      <c r="F86" s="68">
        <f t="shared" si="84"/>
        <v>8525</v>
      </c>
      <c r="G86" s="68">
        <f>IF($E$13="Married",IF($F$13&gt;D86,(D86-D85),($F$13-G85-G84)),0)</f>
        <v>28750</v>
      </c>
      <c r="H86" s="68">
        <f t="shared" si="83"/>
        <v>6325</v>
      </c>
      <c r="I86" s="68"/>
      <c r="J86" s="4"/>
      <c r="O86" s="6"/>
      <c r="Q86" s="59">
        <f t="shared" si="51"/>
        <v>1</v>
      </c>
      <c r="R86" s="59"/>
      <c r="S86" s="59"/>
      <c r="T86" s="59"/>
      <c r="U86" s="59"/>
      <c r="V86" s="59"/>
      <c r="W86" s="59"/>
      <c r="X86" s="50">
        <f t="shared" si="79"/>
        <v>114</v>
      </c>
      <c r="Y86" s="60">
        <f t="shared" si="75"/>
        <v>0</v>
      </c>
      <c r="Z86" s="60">
        <f t="shared" si="52"/>
        <v>0</v>
      </c>
      <c r="AA86" s="61">
        <f t="shared" si="59"/>
        <v>0</v>
      </c>
      <c r="AB86" s="60">
        <f t="shared" si="60"/>
        <v>0</v>
      </c>
      <c r="AC86" s="60">
        <f t="shared" si="61"/>
        <v>0</v>
      </c>
      <c r="AD86" s="61">
        <f t="shared" si="62"/>
        <v>0</v>
      </c>
      <c r="AE86" s="50">
        <f t="shared" si="63"/>
        <v>0</v>
      </c>
      <c r="AH86" s="59">
        <f t="shared" si="53"/>
        <v>1</v>
      </c>
      <c r="AI86" s="50">
        <f t="shared" si="80"/>
        <v>114</v>
      </c>
      <c r="AJ86" s="60">
        <f t="shared" si="76"/>
        <v>0</v>
      </c>
      <c r="AK86" s="60">
        <f t="shared" si="54"/>
        <v>0</v>
      </c>
      <c r="AL86" s="61">
        <f t="shared" si="64"/>
        <v>0</v>
      </c>
      <c r="AM86" s="60">
        <f t="shared" si="65"/>
        <v>0</v>
      </c>
      <c r="AN86" s="60">
        <f t="shared" si="66"/>
        <v>0</v>
      </c>
      <c r="AO86" s="50">
        <f t="shared" si="67"/>
        <v>0</v>
      </c>
      <c r="AR86" s="59">
        <f t="shared" si="55"/>
        <v>1</v>
      </c>
      <c r="AS86" s="50">
        <f t="shared" si="81"/>
        <v>114</v>
      </c>
      <c r="AT86" s="60" t="e">
        <f t="shared" si="77"/>
        <v>#REF!</v>
      </c>
      <c r="AU86" s="60">
        <f t="shared" si="56"/>
        <v>0</v>
      </c>
      <c r="AV86" s="61" t="e">
        <f>IF(AX85=0,0,IF(AS86=$E$31,-#REF!*AR86,IF(AS86&lt;$E$31,0,IF(-AV85*AR86&gt;AX85,-AX85,AV85*AR86))))</f>
        <v>#REF!</v>
      </c>
      <c r="AW86" s="60" t="e">
        <f t="shared" si="68"/>
        <v>#REF!</v>
      </c>
      <c r="AX86" s="60" t="e">
        <f t="shared" si="69"/>
        <v>#REF!</v>
      </c>
      <c r="AY86" s="50" t="e">
        <f t="shared" si="70"/>
        <v>#REF!</v>
      </c>
      <c r="BB86" s="59">
        <f t="shared" si="57"/>
        <v>1</v>
      </c>
      <c r="BC86" s="50">
        <f t="shared" si="82"/>
        <v>114</v>
      </c>
      <c r="BD86" s="60">
        <f t="shared" si="78"/>
        <v>0</v>
      </c>
      <c r="BE86" s="60">
        <f t="shared" si="58"/>
        <v>0</v>
      </c>
      <c r="BF86" s="61">
        <f t="shared" si="71"/>
        <v>0</v>
      </c>
      <c r="BG86" s="60">
        <f t="shared" si="72"/>
        <v>0</v>
      </c>
      <c r="BH86" s="60">
        <f t="shared" si="73"/>
        <v>0</v>
      </c>
      <c r="BI86" s="50">
        <f t="shared" si="74"/>
        <v>0</v>
      </c>
    </row>
    <row r="87" spans="1:61" x14ac:dyDescent="0.2">
      <c r="A87" s="13" t="s">
        <v>25</v>
      </c>
      <c r="B87" s="73">
        <v>0.24</v>
      </c>
      <c r="C87" s="68">
        <v>178151</v>
      </c>
      <c r="D87" s="68">
        <v>340100</v>
      </c>
      <c r="E87" s="68">
        <f>IF($E$13="Married",IF($E$16&gt;D87,(D87-D86),($E$16-E86-E85-E84)),0)</f>
        <v>0</v>
      </c>
      <c r="F87" s="68">
        <f t="shared" si="84"/>
        <v>0</v>
      </c>
      <c r="G87" s="68">
        <f>IF($E$13="Married",IF($F$13&gt;D87,(D87-D86),($F$13-G86-G85-G84)),0)</f>
        <v>0</v>
      </c>
      <c r="H87" s="68">
        <f t="shared" si="83"/>
        <v>0</v>
      </c>
      <c r="I87" s="68"/>
      <c r="J87" s="4"/>
      <c r="K87" s="6"/>
      <c r="L87" s="6"/>
      <c r="M87" s="6"/>
      <c r="N87" s="6"/>
      <c r="Q87" s="59">
        <f t="shared" si="51"/>
        <v>1</v>
      </c>
      <c r="R87" s="59"/>
      <c r="S87" s="59"/>
      <c r="T87" s="59"/>
      <c r="U87" s="59"/>
      <c r="V87" s="59"/>
      <c r="W87" s="59"/>
      <c r="X87" s="50">
        <f t="shared" si="79"/>
        <v>115</v>
      </c>
      <c r="Y87" s="60">
        <f t="shared" si="75"/>
        <v>0</v>
      </c>
      <c r="Z87" s="60">
        <f t="shared" si="52"/>
        <v>0</v>
      </c>
      <c r="AA87" s="61">
        <f t="shared" si="59"/>
        <v>0</v>
      </c>
      <c r="AB87" s="60">
        <f t="shared" si="60"/>
        <v>0</v>
      </c>
      <c r="AC87" s="60">
        <f t="shared" si="61"/>
        <v>0</v>
      </c>
      <c r="AD87" s="61">
        <f t="shared" si="62"/>
        <v>0</v>
      </c>
      <c r="AE87" s="50">
        <f t="shared" si="63"/>
        <v>0</v>
      </c>
      <c r="AH87" s="59">
        <f t="shared" si="53"/>
        <v>1</v>
      </c>
      <c r="AI87" s="50">
        <f t="shared" si="80"/>
        <v>115</v>
      </c>
      <c r="AJ87" s="60">
        <f t="shared" si="76"/>
        <v>0</v>
      </c>
      <c r="AK87" s="60">
        <f t="shared" si="54"/>
        <v>0</v>
      </c>
      <c r="AL87" s="61">
        <f t="shared" si="64"/>
        <v>0</v>
      </c>
      <c r="AM87" s="60">
        <f t="shared" si="65"/>
        <v>0</v>
      </c>
      <c r="AN87" s="60">
        <f t="shared" si="66"/>
        <v>0</v>
      </c>
      <c r="AO87" s="50">
        <f t="shared" si="67"/>
        <v>0</v>
      </c>
      <c r="AR87" s="59">
        <f t="shared" si="55"/>
        <v>1</v>
      </c>
      <c r="AS87" s="50">
        <f t="shared" si="81"/>
        <v>115</v>
      </c>
      <c r="AT87" s="60" t="e">
        <f t="shared" si="77"/>
        <v>#REF!</v>
      </c>
      <c r="AU87" s="60">
        <f t="shared" si="56"/>
        <v>0</v>
      </c>
      <c r="AV87" s="61" t="e">
        <f>IF(AX86=0,0,IF(AS87=$E$31,-#REF!*AR87,IF(AS87&lt;$E$31,0,IF(-AV86*AR87&gt;AX86,-AX86,AV86*AR87))))</f>
        <v>#REF!</v>
      </c>
      <c r="AW87" s="60" t="e">
        <f t="shared" si="68"/>
        <v>#REF!</v>
      </c>
      <c r="AX87" s="60" t="e">
        <f t="shared" si="69"/>
        <v>#REF!</v>
      </c>
      <c r="AY87" s="50" t="e">
        <f t="shared" si="70"/>
        <v>#REF!</v>
      </c>
      <c r="BB87" s="59">
        <f t="shared" si="57"/>
        <v>1</v>
      </c>
      <c r="BC87" s="50">
        <f t="shared" si="82"/>
        <v>115</v>
      </c>
      <c r="BD87" s="60">
        <f t="shared" si="78"/>
        <v>0</v>
      </c>
      <c r="BE87" s="60">
        <f t="shared" si="58"/>
        <v>0</v>
      </c>
      <c r="BF87" s="61">
        <f t="shared" si="71"/>
        <v>0</v>
      </c>
      <c r="BG87" s="60">
        <f t="shared" si="72"/>
        <v>0</v>
      </c>
      <c r="BH87" s="60">
        <f t="shared" si="73"/>
        <v>0</v>
      </c>
      <c r="BI87" s="50">
        <f t="shared" si="74"/>
        <v>0</v>
      </c>
    </row>
    <row r="88" spans="1:61" x14ac:dyDescent="0.2">
      <c r="A88" s="13" t="s">
        <v>25</v>
      </c>
      <c r="B88" s="73">
        <v>0.32</v>
      </c>
      <c r="C88" s="68">
        <v>340101</v>
      </c>
      <c r="D88" s="68">
        <v>431900</v>
      </c>
      <c r="E88" s="68">
        <f>IF($E$13="Married",IF($E$16&gt;D88,(D88-D87),($E$16-E87-E86-E85-E84)),0)</f>
        <v>0</v>
      </c>
      <c r="F88" s="68">
        <f t="shared" si="84"/>
        <v>0</v>
      </c>
      <c r="G88" s="68">
        <f>IF($E$13="Married",IF($F$13&gt;D88,(D88-D87),($F$13-G87-G86-G85-G84)),0)</f>
        <v>0</v>
      </c>
      <c r="H88" s="68">
        <f t="shared" si="83"/>
        <v>0</v>
      </c>
      <c r="I88" s="68"/>
      <c r="J88" s="4"/>
      <c r="P88" s="51"/>
      <c r="Q88" s="59">
        <f t="shared" si="51"/>
        <v>1</v>
      </c>
      <c r="R88" s="59"/>
      <c r="S88" s="59"/>
      <c r="T88" s="59"/>
      <c r="U88" s="59"/>
      <c r="V88" s="59"/>
      <c r="W88" s="59"/>
      <c r="X88" s="50">
        <f t="shared" si="79"/>
        <v>116</v>
      </c>
      <c r="Y88" s="60">
        <f t="shared" si="75"/>
        <v>0</v>
      </c>
      <c r="Z88" s="60">
        <f t="shared" si="52"/>
        <v>0</v>
      </c>
      <c r="AA88" s="61">
        <f t="shared" si="59"/>
        <v>0</v>
      </c>
      <c r="AB88" s="60">
        <f t="shared" si="60"/>
        <v>0</v>
      </c>
      <c r="AC88" s="60">
        <f t="shared" si="61"/>
        <v>0</v>
      </c>
      <c r="AD88" s="61">
        <f t="shared" si="62"/>
        <v>0</v>
      </c>
      <c r="AE88" s="50">
        <f t="shared" si="63"/>
        <v>0</v>
      </c>
      <c r="AH88" s="59">
        <f t="shared" si="53"/>
        <v>1</v>
      </c>
      <c r="AI88" s="50">
        <f t="shared" si="80"/>
        <v>116</v>
      </c>
      <c r="AJ88" s="60">
        <f t="shared" si="76"/>
        <v>0</v>
      </c>
      <c r="AK88" s="60">
        <f t="shared" si="54"/>
        <v>0</v>
      </c>
      <c r="AL88" s="61">
        <f t="shared" si="64"/>
        <v>0</v>
      </c>
      <c r="AM88" s="60">
        <f t="shared" si="65"/>
        <v>0</v>
      </c>
      <c r="AN88" s="60">
        <f t="shared" si="66"/>
        <v>0</v>
      </c>
      <c r="AO88" s="50">
        <f t="shared" si="67"/>
        <v>0</v>
      </c>
      <c r="AR88" s="59">
        <f t="shared" si="55"/>
        <v>1</v>
      </c>
      <c r="AS88" s="50">
        <f t="shared" si="81"/>
        <v>116</v>
      </c>
      <c r="AT88" s="60" t="e">
        <f t="shared" si="77"/>
        <v>#REF!</v>
      </c>
      <c r="AU88" s="60">
        <f t="shared" si="56"/>
        <v>0</v>
      </c>
      <c r="AV88" s="61" t="e">
        <f>IF(AX87=0,0,IF(AS88=$E$31,-#REF!*AR88,IF(AS88&lt;$E$31,0,IF(-AV87*AR88&gt;AX87,-AX87,AV87*AR88))))</f>
        <v>#REF!</v>
      </c>
      <c r="AW88" s="60" t="e">
        <f t="shared" si="68"/>
        <v>#REF!</v>
      </c>
      <c r="AX88" s="60" t="e">
        <f t="shared" si="69"/>
        <v>#REF!</v>
      </c>
      <c r="AY88" s="50" t="e">
        <f t="shared" si="70"/>
        <v>#REF!</v>
      </c>
      <c r="BB88" s="59">
        <f t="shared" si="57"/>
        <v>1</v>
      </c>
      <c r="BC88" s="50">
        <f t="shared" si="82"/>
        <v>116</v>
      </c>
      <c r="BD88" s="60">
        <f t="shared" si="78"/>
        <v>0</v>
      </c>
      <c r="BE88" s="60">
        <f t="shared" si="58"/>
        <v>0</v>
      </c>
      <c r="BF88" s="61">
        <f t="shared" si="71"/>
        <v>0</v>
      </c>
      <c r="BG88" s="60">
        <f t="shared" si="72"/>
        <v>0</v>
      </c>
      <c r="BH88" s="60">
        <f t="shared" si="73"/>
        <v>0</v>
      </c>
      <c r="BI88" s="50">
        <f t="shared" si="74"/>
        <v>0</v>
      </c>
    </row>
    <row r="89" spans="1:61" x14ac:dyDescent="0.2">
      <c r="A89" s="13" t="s">
        <v>25</v>
      </c>
      <c r="B89" s="73">
        <v>0.35</v>
      </c>
      <c r="C89" s="68">
        <v>431901</v>
      </c>
      <c r="D89" s="68">
        <v>647850</v>
      </c>
      <c r="E89" s="68">
        <f>IF($E$13="Married",IF($E$16&gt;D89,(D89-D88),($E$16-E88-E87-E86-E85-E84)),0)</f>
        <v>0</v>
      </c>
      <c r="F89" s="68">
        <f t="shared" si="84"/>
        <v>0</v>
      </c>
      <c r="G89" s="68">
        <f>IF($E$13="Married",IF($F$13&gt;D89,(D89-D88),($F$13-G88-G87-G86-G85-G84)),0)</f>
        <v>0</v>
      </c>
      <c r="H89" s="68">
        <f t="shared" si="83"/>
        <v>0</v>
      </c>
      <c r="I89" s="68"/>
      <c r="J89" s="4"/>
      <c r="O89" s="9"/>
      <c r="P89" s="52"/>
      <c r="Q89" s="59">
        <f t="shared" si="51"/>
        <v>1</v>
      </c>
      <c r="R89" s="59"/>
      <c r="S89" s="59"/>
      <c r="T89" s="59"/>
      <c r="U89" s="59"/>
      <c r="V89" s="59"/>
      <c r="W89" s="59"/>
      <c r="X89" s="50">
        <f t="shared" si="79"/>
        <v>117</v>
      </c>
      <c r="Y89" s="60">
        <f t="shared" si="75"/>
        <v>0</v>
      </c>
      <c r="Z89" s="60">
        <f t="shared" si="52"/>
        <v>0</v>
      </c>
      <c r="AA89" s="61">
        <f t="shared" si="59"/>
        <v>0</v>
      </c>
      <c r="AB89" s="60">
        <f t="shared" si="60"/>
        <v>0</v>
      </c>
      <c r="AC89" s="60">
        <f t="shared" si="61"/>
        <v>0</v>
      </c>
      <c r="AD89" s="61">
        <f t="shared" si="62"/>
        <v>0</v>
      </c>
      <c r="AE89" s="50">
        <f t="shared" si="63"/>
        <v>0</v>
      </c>
      <c r="AH89" s="59">
        <f t="shared" si="53"/>
        <v>1</v>
      </c>
      <c r="AI89" s="50">
        <f t="shared" si="80"/>
        <v>117</v>
      </c>
      <c r="AJ89" s="60">
        <f t="shared" si="76"/>
        <v>0</v>
      </c>
      <c r="AK89" s="60">
        <f t="shared" si="54"/>
        <v>0</v>
      </c>
      <c r="AL89" s="61">
        <f t="shared" si="64"/>
        <v>0</v>
      </c>
      <c r="AM89" s="60">
        <f t="shared" si="65"/>
        <v>0</v>
      </c>
      <c r="AN89" s="60">
        <f t="shared" si="66"/>
        <v>0</v>
      </c>
      <c r="AO89" s="50">
        <f t="shared" si="67"/>
        <v>0</v>
      </c>
      <c r="AR89" s="59">
        <f t="shared" si="55"/>
        <v>1</v>
      </c>
      <c r="AS89" s="50">
        <f t="shared" si="81"/>
        <v>117</v>
      </c>
      <c r="AT89" s="60" t="e">
        <f t="shared" si="77"/>
        <v>#REF!</v>
      </c>
      <c r="AU89" s="60">
        <f t="shared" si="56"/>
        <v>0</v>
      </c>
      <c r="AV89" s="61" t="e">
        <f>IF(AX88=0,0,IF(AS89=$E$31,-#REF!*AR89,IF(AS89&lt;$E$31,0,IF(-AV88*AR89&gt;AX88,-AX88,AV88*AR89))))</f>
        <v>#REF!</v>
      </c>
      <c r="AW89" s="60" t="e">
        <f t="shared" si="68"/>
        <v>#REF!</v>
      </c>
      <c r="AX89" s="60" t="e">
        <f t="shared" si="69"/>
        <v>#REF!</v>
      </c>
      <c r="AY89" s="50" t="e">
        <f t="shared" si="70"/>
        <v>#REF!</v>
      </c>
      <c r="BB89" s="59">
        <f t="shared" si="57"/>
        <v>1</v>
      </c>
      <c r="BC89" s="50">
        <f t="shared" si="82"/>
        <v>117</v>
      </c>
      <c r="BD89" s="60">
        <f t="shared" si="78"/>
        <v>0</v>
      </c>
      <c r="BE89" s="60">
        <f t="shared" si="58"/>
        <v>0</v>
      </c>
      <c r="BF89" s="61">
        <f t="shared" si="71"/>
        <v>0</v>
      </c>
      <c r="BG89" s="60">
        <f t="shared" si="72"/>
        <v>0</v>
      </c>
      <c r="BH89" s="60">
        <f t="shared" si="73"/>
        <v>0</v>
      </c>
      <c r="BI89" s="50">
        <f t="shared" si="74"/>
        <v>0</v>
      </c>
    </row>
    <row r="90" spans="1:61" x14ac:dyDescent="0.2">
      <c r="A90" s="13" t="s">
        <v>25</v>
      </c>
      <c r="B90" s="73">
        <v>0.37</v>
      </c>
      <c r="C90" s="68">
        <v>647851</v>
      </c>
      <c r="D90" s="68"/>
      <c r="E90" s="68">
        <f>IF($E$13="Married",IF($E$16&gt;D89,($E$16-D89),0),0)</f>
        <v>0</v>
      </c>
      <c r="F90" s="68">
        <f t="shared" si="84"/>
        <v>0</v>
      </c>
      <c r="G90" s="68">
        <f>IF($E$13="Married",IF($F$13&gt;D89,($F$13-D89),0),0)</f>
        <v>0</v>
      </c>
      <c r="H90" s="68">
        <f t="shared" si="83"/>
        <v>0</v>
      </c>
      <c r="I90" s="68"/>
      <c r="J90" s="4"/>
      <c r="K90" s="9"/>
      <c r="L90" s="9"/>
      <c r="M90" s="9"/>
      <c r="N90" s="9"/>
      <c r="O90" s="2"/>
      <c r="P90" s="53"/>
      <c r="Q90" s="59">
        <f t="shared" si="51"/>
        <v>1</v>
      </c>
      <c r="R90" s="59"/>
      <c r="S90" s="59"/>
      <c r="T90" s="59"/>
      <c r="U90" s="59"/>
      <c r="V90" s="59"/>
      <c r="W90" s="59"/>
      <c r="X90" s="50">
        <f t="shared" si="79"/>
        <v>118</v>
      </c>
      <c r="Y90" s="60">
        <f t="shared" si="75"/>
        <v>0</v>
      </c>
      <c r="Z90" s="60">
        <f t="shared" si="52"/>
        <v>0</v>
      </c>
      <c r="AA90" s="61">
        <f t="shared" si="59"/>
        <v>0</v>
      </c>
      <c r="AB90" s="60">
        <f t="shared" si="60"/>
        <v>0</v>
      </c>
      <c r="AC90" s="60">
        <f t="shared" si="61"/>
        <v>0</v>
      </c>
      <c r="AD90" s="61">
        <f t="shared" si="62"/>
        <v>0</v>
      </c>
      <c r="AE90" s="50">
        <f t="shared" si="63"/>
        <v>0</v>
      </c>
      <c r="AH90" s="59">
        <f t="shared" si="53"/>
        <v>1</v>
      </c>
      <c r="AI90" s="50">
        <f t="shared" si="80"/>
        <v>118</v>
      </c>
      <c r="AJ90" s="60">
        <f t="shared" si="76"/>
        <v>0</v>
      </c>
      <c r="AK90" s="60">
        <f t="shared" si="54"/>
        <v>0</v>
      </c>
      <c r="AL90" s="61">
        <f t="shared" si="64"/>
        <v>0</v>
      </c>
      <c r="AM90" s="60">
        <f t="shared" si="65"/>
        <v>0</v>
      </c>
      <c r="AN90" s="60">
        <f t="shared" si="66"/>
        <v>0</v>
      </c>
      <c r="AO90" s="50">
        <f t="shared" si="67"/>
        <v>0</v>
      </c>
      <c r="AR90" s="59">
        <f t="shared" si="55"/>
        <v>1</v>
      </c>
      <c r="AS90" s="50">
        <f t="shared" si="81"/>
        <v>118</v>
      </c>
      <c r="AT90" s="60" t="e">
        <f t="shared" si="77"/>
        <v>#REF!</v>
      </c>
      <c r="AU90" s="60">
        <f t="shared" si="56"/>
        <v>0</v>
      </c>
      <c r="AV90" s="61" t="e">
        <f>IF(AX89=0,0,IF(AS90=$E$31,-#REF!*AR90,IF(AS90&lt;$E$31,0,IF(-AV89*AR90&gt;AX89,-AX89,AV89*AR90))))</f>
        <v>#REF!</v>
      </c>
      <c r="AW90" s="60" t="e">
        <f t="shared" si="68"/>
        <v>#REF!</v>
      </c>
      <c r="AX90" s="60" t="e">
        <f t="shared" si="69"/>
        <v>#REF!</v>
      </c>
      <c r="AY90" s="50" t="e">
        <f t="shared" si="70"/>
        <v>#REF!</v>
      </c>
      <c r="BB90" s="59">
        <f t="shared" si="57"/>
        <v>1</v>
      </c>
      <c r="BC90" s="50">
        <f t="shared" si="82"/>
        <v>118</v>
      </c>
      <c r="BD90" s="60">
        <f t="shared" si="78"/>
        <v>0</v>
      </c>
      <c r="BE90" s="60">
        <f t="shared" si="58"/>
        <v>0</v>
      </c>
      <c r="BF90" s="61">
        <f t="shared" si="71"/>
        <v>0</v>
      </c>
      <c r="BG90" s="60">
        <f t="shared" si="72"/>
        <v>0</v>
      </c>
      <c r="BH90" s="60">
        <f t="shared" si="73"/>
        <v>0</v>
      </c>
      <c r="BI90" s="50">
        <f t="shared" si="74"/>
        <v>0</v>
      </c>
    </row>
    <row r="91" spans="1:61" x14ac:dyDescent="0.2">
      <c r="A91" s="13"/>
      <c r="B91" s="13"/>
      <c r="C91" s="13"/>
      <c r="D91" s="13"/>
      <c r="E91" s="17"/>
      <c r="F91" s="13"/>
      <c r="G91" s="17"/>
      <c r="H91" s="13"/>
      <c r="I91" s="13"/>
      <c r="K91" s="2"/>
      <c r="L91" s="2"/>
      <c r="M91" s="2"/>
      <c r="N91" s="2"/>
      <c r="O91" s="4"/>
      <c r="P91" s="53"/>
      <c r="Q91" s="59">
        <f t="shared" si="51"/>
        <v>1</v>
      </c>
      <c r="R91" s="59"/>
      <c r="S91" s="59"/>
      <c r="T91" s="59"/>
      <c r="U91" s="59"/>
      <c r="V91" s="59"/>
      <c r="W91" s="59"/>
      <c r="X91" s="50">
        <f t="shared" si="79"/>
        <v>119</v>
      </c>
      <c r="Y91" s="60">
        <f t="shared" si="75"/>
        <v>0</v>
      </c>
      <c r="Z91" s="60">
        <f t="shared" si="52"/>
        <v>0</v>
      </c>
      <c r="AA91" s="61">
        <f t="shared" si="59"/>
        <v>0</v>
      </c>
      <c r="AB91" s="60">
        <f t="shared" si="60"/>
        <v>0</v>
      </c>
      <c r="AC91" s="60">
        <f t="shared" si="61"/>
        <v>0</v>
      </c>
      <c r="AD91" s="61">
        <f t="shared" si="62"/>
        <v>0</v>
      </c>
      <c r="AE91" s="50">
        <f t="shared" si="63"/>
        <v>0</v>
      </c>
      <c r="AH91" s="59">
        <f t="shared" si="53"/>
        <v>1</v>
      </c>
      <c r="AI91" s="50">
        <f t="shared" si="80"/>
        <v>119</v>
      </c>
      <c r="AJ91" s="60">
        <f t="shared" si="76"/>
        <v>0</v>
      </c>
      <c r="AK91" s="60">
        <f t="shared" si="54"/>
        <v>0</v>
      </c>
      <c r="AL91" s="61">
        <f t="shared" si="64"/>
        <v>0</v>
      </c>
      <c r="AM91" s="60">
        <f t="shared" si="65"/>
        <v>0</v>
      </c>
      <c r="AN91" s="60">
        <f t="shared" si="66"/>
        <v>0</v>
      </c>
      <c r="AO91" s="50">
        <f t="shared" si="67"/>
        <v>0</v>
      </c>
      <c r="AR91" s="59">
        <f t="shared" si="55"/>
        <v>1</v>
      </c>
      <c r="AS91" s="50">
        <f t="shared" si="81"/>
        <v>119</v>
      </c>
      <c r="AT91" s="60" t="e">
        <f t="shared" si="77"/>
        <v>#REF!</v>
      </c>
      <c r="AU91" s="60">
        <f t="shared" si="56"/>
        <v>0</v>
      </c>
      <c r="AV91" s="61" t="e">
        <f>IF(AX90=0,0,IF(AS91=$E$31,-#REF!*AR91,IF(AS91&lt;$E$31,0,IF(-AV90*AR91&gt;AX90,-AX90,AV90*AR91))))</f>
        <v>#REF!</v>
      </c>
      <c r="AW91" s="60" t="e">
        <f t="shared" si="68"/>
        <v>#REF!</v>
      </c>
      <c r="AX91" s="60" t="e">
        <f t="shared" si="69"/>
        <v>#REF!</v>
      </c>
      <c r="AY91" s="50" t="e">
        <f t="shared" si="70"/>
        <v>#REF!</v>
      </c>
      <c r="BB91" s="59">
        <f t="shared" si="57"/>
        <v>1</v>
      </c>
      <c r="BC91" s="50">
        <f t="shared" si="82"/>
        <v>119</v>
      </c>
      <c r="BD91" s="60">
        <f t="shared" si="78"/>
        <v>0</v>
      </c>
      <c r="BE91" s="60">
        <f t="shared" si="58"/>
        <v>0</v>
      </c>
      <c r="BF91" s="61">
        <f t="shared" si="71"/>
        <v>0</v>
      </c>
      <c r="BG91" s="60">
        <f t="shared" si="72"/>
        <v>0</v>
      </c>
      <c r="BH91" s="60">
        <f t="shared" si="73"/>
        <v>0</v>
      </c>
      <c r="BI91" s="50">
        <f t="shared" si="74"/>
        <v>0</v>
      </c>
    </row>
    <row r="92" spans="1:61" x14ac:dyDescent="0.2">
      <c r="A92" s="13"/>
      <c r="B92" s="13"/>
      <c r="C92" s="13"/>
      <c r="D92" s="13"/>
      <c r="E92" s="71" t="s">
        <v>11</v>
      </c>
      <c r="F92" s="69">
        <f>SUM(F84:F90)</f>
        <v>18140</v>
      </c>
      <c r="G92" s="71" t="s">
        <v>11</v>
      </c>
      <c r="H92" s="69">
        <f>SUM(H84:H90)</f>
        <v>15940</v>
      </c>
      <c r="I92" s="69"/>
      <c r="J92" s="6"/>
      <c r="K92" s="4"/>
      <c r="L92" s="4"/>
      <c r="M92" s="4"/>
      <c r="N92" s="4"/>
      <c r="O92" s="4"/>
      <c r="P92" s="53"/>
      <c r="Q92" s="59">
        <f t="shared" si="51"/>
        <v>1</v>
      </c>
      <c r="R92" s="59"/>
      <c r="S92" s="59"/>
      <c r="T92" s="59"/>
      <c r="U92" s="59"/>
      <c r="V92" s="59"/>
      <c r="W92" s="59"/>
      <c r="X92" s="50">
        <f t="shared" si="79"/>
        <v>120</v>
      </c>
      <c r="Y92" s="60">
        <f t="shared" si="75"/>
        <v>0</v>
      </c>
      <c r="Z92" s="60">
        <f t="shared" si="52"/>
        <v>0</v>
      </c>
      <c r="AA92" s="61">
        <f t="shared" si="59"/>
        <v>0</v>
      </c>
      <c r="AB92" s="60">
        <f t="shared" si="60"/>
        <v>0</v>
      </c>
      <c r="AC92" s="60">
        <f t="shared" si="61"/>
        <v>0</v>
      </c>
      <c r="AD92" s="61">
        <f t="shared" si="62"/>
        <v>0</v>
      </c>
      <c r="AE92" s="50">
        <f t="shared" si="63"/>
        <v>0</v>
      </c>
      <c r="AH92" s="59">
        <f t="shared" si="53"/>
        <v>1</v>
      </c>
      <c r="AI92" s="50">
        <f t="shared" si="80"/>
        <v>120</v>
      </c>
      <c r="AJ92" s="60">
        <f t="shared" si="76"/>
        <v>0</v>
      </c>
      <c r="AK92" s="60">
        <f t="shared" si="54"/>
        <v>0</v>
      </c>
      <c r="AL92" s="61">
        <f t="shared" si="64"/>
        <v>0</v>
      </c>
      <c r="AM92" s="60">
        <f t="shared" si="65"/>
        <v>0</v>
      </c>
      <c r="AN92" s="60">
        <f t="shared" si="66"/>
        <v>0</v>
      </c>
      <c r="AO92" s="50">
        <f t="shared" si="67"/>
        <v>0</v>
      </c>
      <c r="AR92" s="59">
        <f t="shared" si="55"/>
        <v>1</v>
      </c>
      <c r="AS92" s="50">
        <f t="shared" si="81"/>
        <v>120</v>
      </c>
      <c r="AT92" s="60" t="e">
        <f t="shared" si="77"/>
        <v>#REF!</v>
      </c>
      <c r="AU92" s="60">
        <f t="shared" si="56"/>
        <v>0</v>
      </c>
      <c r="AV92" s="61" t="e">
        <f>IF(AX91=0,0,IF(AS92=$E$31,-#REF!*AR92,IF(AS92&lt;$E$31,0,IF(-AV91*AR92&gt;AX91,-AX91,AV91*AR92))))</f>
        <v>#REF!</v>
      </c>
      <c r="AW92" s="60" t="e">
        <f t="shared" si="68"/>
        <v>#REF!</v>
      </c>
      <c r="AX92" s="60" t="e">
        <f t="shared" si="69"/>
        <v>#REF!</v>
      </c>
      <c r="AY92" s="50" t="e">
        <f t="shared" si="70"/>
        <v>#REF!</v>
      </c>
      <c r="BB92" s="59">
        <f t="shared" si="57"/>
        <v>1</v>
      </c>
      <c r="BC92" s="50">
        <f t="shared" si="82"/>
        <v>120</v>
      </c>
      <c r="BD92" s="60">
        <f t="shared" si="78"/>
        <v>0</v>
      </c>
      <c r="BE92" s="60">
        <f t="shared" si="58"/>
        <v>0</v>
      </c>
      <c r="BF92" s="61">
        <f t="shared" si="71"/>
        <v>0</v>
      </c>
      <c r="BG92" s="60">
        <f t="shared" si="72"/>
        <v>0</v>
      </c>
      <c r="BH92" s="60">
        <f t="shared" si="73"/>
        <v>0</v>
      </c>
      <c r="BI92" s="50">
        <f t="shared" si="74"/>
        <v>0</v>
      </c>
    </row>
    <row r="93" spans="1:61" x14ac:dyDescent="0.2">
      <c r="A93" s="13"/>
      <c r="B93" s="13"/>
      <c r="C93" s="13"/>
      <c r="D93" s="13"/>
      <c r="E93" s="17"/>
      <c r="F93" s="13"/>
      <c r="G93" s="13"/>
      <c r="H93" s="13"/>
      <c r="I93" s="13"/>
      <c r="K93" s="4"/>
      <c r="L93" s="4"/>
      <c r="M93" s="4"/>
      <c r="N93" s="4"/>
      <c r="O93" s="4"/>
      <c r="P93" s="53"/>
      <c r="Q93" s="59">
        <f t="shared" si="51"/>
        <v>1</v>
      </c>
      <c r="R93" s="59"/>
      <c r="S93" s="59"/>
      <c r="T93" s="59"/>
      <c r="U93" s="59"/>
      <c r="V93" s="59"/>
      <c r="W93" s="59"/>
      <c r="X93" s="50">
        <f t="shared" si="79"/>
        <v>121</v>
      </c>
      <c r="Y93" s="60">
        <f t="shared" si="75"/>
        <v>0</v>
      </c>
      <c r="Z93" s="60">
        <f t="shared" si="52"/>
        <v>0</v>
      </c>
      <c r="AA93" s="61">
        <f t="shared" si="59"/>
        <v>0</v>
      </c>
      <c r="AB93" s="60">
        <f t="shared" si="60"/>
        <v>0</v>
      </c>
      <c r="AC93" s="60">
        <f t="shared" si="61"/>
        <v>0</v>
      </c>
      <c r="AD93" s="61">
        <f t="shared" si="62"/>
        <v>0</v>
      </c>
      <c r="AE93" s="50">
        <f t="shared" si="63"/>
        <v>0</v>
      </c>
      <c r="AH93" s="59">
        <f t="shared" si="53"/>
        <v>1</v>
      </c>
      <c r="AI93" s="50">
        <f t="shared" si="80"/>
        <v>121</v>
      </c>
      <c r="AJ93" s="60">
        <f t="shared" si="76"/>
        <v>0</v>
      </c>
      <c r="AK93" s="60">
        <f t="shared" si="54"/>
        <v>0</v>
      </c>
      <c r="AL93" s="61">
        <f t="shared" si="64"/>
        <v>0</v>
      </c>
      <c r="AM93" s="60">
        <f t="shared" si="65"/>
        <v>0</v>
      </c>
      <c r="AN93" s="60">
        <f t="shared" si="66"/>
        <v>0</v>
      </c>
      <c r="AO93" s="50">
        <f t="shared" si="67"/>
        <v>0</v>
      </c>
      <c r="AR93" s="59">
        <f t="shared" si="55"/>
        <v>1</v>
      </c>
      <c r="AS93" s="50">
        <f t="shared" si="81"/>
        <v>121</v>
      </c>
      <c r="AT93" s="60" t="e">
        <f t="shared" si="77"/>
        <v>#REF!</v>
      </c>
      <c r="AU93" s="60">
        <f t="shared" si="56"/>
        <v>0</v>
      </c>
      <c r="AV93" s="61" t="e">
        <f>IF(AX92=0,0,IF(AS93=$E$31,-#REF!*AR93,IF(AS93&lt;$E$31,0,IF(-AV92*AR93&gt;AX92,-AX92,AV92*AR93))))</f>
        <v>#REF!</v>
      </c>
      <c r="AW93" s="60" t="e">
        <f t="shared" si="68"/>
        <v>#REF!</v>
      </c>
      <c r="AX93" s="60" t="e">
        <f t="shared" si="69"/>
        <v>#REF!</v>
      </c>
      <c r="AY93" s="50" t="e">
        <f t="shared" si="70"/>
        <v>#REF!</v>
      </c>
      <c r="BB93" s="59">
        <f t="shared" si="57"/>
        <v>1</v>
      </c>
      <c r="BC93" s="50">
        <f t="shared" si="82"/>
        <v>121</v>
      </c>
      <c r="BD93" s="60">
        <f t="shared" si="78"/>
        <v>0</v>
      </c>
      <c r="BE93" s="60">
        <f t="shared" si="58"/>
        <v>0</v>
      </c>
      <c r="BF93" s="61">
        <f t="shared" si="71"/>
        <v>0</v>
      </c>
      <c r="BG93" s="60">
        <f t="shared" si="72"/>
        <v>0</v>
      </c>
      <c r="BH93" s="60">
        <f t="shared" si="73"/>
        <v>0</v>
      </c>
      <c r="BI93" s="50">
        <f t="shared" si="74"/>
        <v>0</v>
      </c>
    </row>
    <row r="94" spans="1:61" x14ac:dyDescent="0.2">
      <c r="A94" s="13"/>
      <c r="B94" s="13"/>
      <c r="C94" s="13"/>
      <c r="D94" s="13"/>
      <c r="E94" s="17"/>
      <c r="F94" s="13"/>
      <c r="G94" s="13"/>
      <c r="H94" s="13"/>
      <c r="I94" s="13"/>
      <c r="K94" s="4"/>
      <c r="L94" s="4"/>
      <c r="M94" s="4"/>
      <c r="N94" s="4"/>
      <c r="O94" s="4"/>
      <c r="P94" s="53"/>
      <c r="Q94" s="59">
        <f t="shared" si="51"/>
        <v>1</v>
      </c>
      <c r="R94" s="59"/>
      <c r="S94" s="59"/>
      <c r="T94" s="59"/>
      <c r="U94" s="59"/>
      <c r="V94" s="59"/>
      <c r="W94" s="59"/>
      <c r="X94" s="50">
        <f t="shared" si="79"/>
        <v>122</v>
      </c>
      <c r="Y94" s="60">
        <f t="shared" si="75"/>
        <v>0</v>
      </c>
      <c r="Z94" s="60">
        <f t="shared" si="52"/>
        <v>0</v>
      </c>
      <c r="AA94" s="61">
        <f t="shared" si="59"/>
        <v>0</v>
      </c>
      <c r="AB94" s="60">
        <f t="shared" si="60"/>
        <v>0</v>
      </c>
      <c r="AC94" s="60">
        <f t="shared" si="61"/>
        <v>0</v>
      </c>
      <c r="AD94" s="61">
        <f t="shared" si="62"/>
        <v>0</v>
      </c>
      <c r="AE94" s="50">
        <f t="shared" si="63"/>
        <v>0</v>
      </c>
      <c r="AH94" s="59">
        <f t="shared" si="53"/>
        <v>1</v>
      </c>
      <c r="AI94" s="50">
        <f t="shared" si="80"/>
        <v>122</v>
      </c>
      <c r="AJ94" s="60">
        <f t="shared" si="76"/>
        <v>0</v>
      </c>
      <c r="AK94" s="60">
        <f t="shared" si="54"/>
        <v>0</v>
      </c>
      <c r="AL94" s="61">
        <f t="shared" si="64"/>
        <v>0</v>
      </c>
      <c r="AM94" s="60">
        <f t="shared" si="65"/>
        <v>0</v>
      </c>
      <c r="AN94" s="60">
        <f t="shared" si="66"/>
        <v>0</v>
      </c>
      <c r="AO94" s="50">
        <f t="shared" si="67"/>
        <v>0</v>
      </c>
      <c r="AR94" s="59">
        <f t="shared" si="55"/>
        <v>1</v>
      </c>
      <c r="AS94" s="50">
        <f t="shared" si="81"/>
        <v>122</v>
      </c>
      <c r="AT94" s="60" t="e">
        <f t="shared" si="77"/>
        <v>#REF!</v>
      </c>
      <c r="AU94" s="60">
        <f t="shared" si="56"/>
        <v>0</v>
      </c>
      <c r="AV94" s="61" t="e">
        <f>IF(AX93=0,0,IF(AS94=$E$31,-#REF!*AR94,IF(AS94&lt;$E$31,0,IF(-AV93*AR94&gt;AX93,-AX93,AV93*AR94))))</f>
        <v>#REF!</v>
      </c>
      <c r="AW94" s="60" t="e">
        <f t="shared" si="68"/>
        <v>#REF!</v>
      </c>
      <c r="AX94" s="60" t="e">
        <f t="shared" si="69"/>
        <v>#REF!</v>
      </c>
      <c r="AY94" s="50" t="e">
        <f t="shared" si="70"/>
        <v>#REF!</v>
      </c>
      <c r="BB94" s="59">
        <f t="shared" si="57"/>
        <v>1</v>
      </c>
      <c r="BC94" s="50">
        <f t="shared" si="82"/>
        <v>122</v>
      </c>
      <c r="BD94" s="60">
        <f t="shared" si="78"/>
        <v>0</v>
      </c>
      <c r="BE94" s="60">
        <f t="shared" si="58"/>
        <v>0</v>
      </c>
      <c r="BF94" s="61">
        <f t="shared" si="71"/>
        <v>0</v>
      </c>
      <c r="BG94" s="60">
        <f t="shared" si="72"/>
        <v>0</v>
      </c>
      <c r="BH94" s="60">
        <f t="shared" si="73"/>
        <v>0</v>
      </c>
      <c r="BI94" s="50">
        <f t="shared" si="74"/>
        <v>0</v>
      </c>
    </row>
    <row r="95" spans="1:61" x14ac:dyDescent="0.2">
      <c r="A95" s="13"/>
      <c r="B95" s="13" t="s">
        <v>22</v>
      </c>
      <c r="C95" s="13"/>
      <c r="D95" s="13"/>
      <c r="E95" s="17" t="s">
        <v>21</v>
      </c>
      <c r="F95" s="72">
        <v>13850</v>
      </c>
      <c r="G95" s="72"/>
      <c r="H95" s="72"/>
      <c r="I95" s="72"/>
      <c r="J95" s="9"/>
      <c r="K95" s="4"/>
      <c r="L95" s="4"/>
      <c r="M95" s="4"/>
      <c r="N95" s="4"/>
      <c r="O95" s="4"/>
      <c r="P95" s="53"/>
      <c r="Q95" s="59">
        <f t="shared" si="51"/>
        <v>1</v>
      </c>
      <c r="R95" s="59"/>
      <c r="S95" s="59"/>
      <c r="T95" s="59"/>
      <c r="U95" s="59"/>
      <c r="V95" s="59"/>
      <c r="W95" s="59"/>
      <c r="X95" s="50">
        <f t="shared" si="79"/>
        <v>123</v>
      </c>
      <c r="Y95" s="60">
        <f t="shared" si="75"/>
        <v>0</v>
      </c>
      <c r="Z95" s="60">
        <f t="shared" si="52"/>
        <v>0</v>
      </c>
      <c r="AA95" s="61">
        <f t="shared" si="59"/>
        <v>0</v>
      </c>
      <c r="AB95" s="60">
        <f t="shared" si="60"/>
        <v>0</v>
      </c>
      <c r="AC95" s="60">
        <f t="shared" si="61"/>
        <v>0</v>
      </c>
      <c r="AD95" s="61">
        <f t="shared" si="62"/>
        <v>0</v>
      </c>
      <c r="AE95" s="50">
        <f t="shared" si="63"/>
        <v>0</v>
      </c>
      <c r="AH95" s="59">
        <f t="shared" si="53"/>
        <v>1</v>
      </c>
      <c r="AI95" s="50">
        <f t="shared" si="80"/>
        <v>123</v>
      </c>
      <c r="AJ95" s="60">
        <f t="shared" si="76"/>
        <v>0</v>
      </c>
      <c r="AK95" s="60">
        <f t="shared" si="54"/>
        <v>0</v>
      </c>
      <c r="AL95" s="61">
        <f t="shared" si="64"/>
        <v>0</v>
      </c>
      <c r="AM95" s="60">
        <f t="shared" si="65"/>
        <v>0</v>
      </c>
      <c r="AN95" s="60">
        <f t="shared" si="66"/>
        <v>0</v>
      </c>
      <c r="AO95" s="50">
        <f t="shared" si="67"/>
        <v>0</v>
      </c>
      <c r="AR95" s="59">
        <f t="shared" si="55"/>
        <v>1</v>
      </c>
      <c r="AS95" s="50">
        <f t="shared" si="81"/>
        <v>123</v>
      </c>
      <c r="AT95" s="60" t="e">
        <f t="shared" si="77"/>
        <v>#REF!</v>
      </c>
      <c r="AU95" s="60">
        <f t="shared" si="56"/>
        <v>0</v>
      </c>
      <c r="AV95" s="61" t="e">
        <f>IF(AX94=0,0,IF(AS95=$E$31,-#REF!*AR95,IF(AS95&lt;$E$31,0,IF(-AV94*AR95&gt;AX94,-AX94,AV94*AR95))))</f>
        <v>#REF!</v>
      </c>
      <c r="AW95" s="60" t="e">
        <f t="shared" si="68"/>
        <v>#REF!</v>
      </c>
      <c r="AX95" s="60" t="e">
        <f t="shared" si="69"/>
        <v>#REF!</v>
      </c>
      <c r="AY95" s="50" t="e">
        <f t="shared" si="70"/>
        <v>#REF!</v>
      </c>
      <c r="BB95" s="59">
        <f t="shared" si="57"/>
        <v>1</v>
      </c>
      <c r="BC95" s="50">
        <f t="shared" si="82"/>
        <v>123</v>
      </c>
      <c r="BD95" s="60">
        <f t="shared" si="78"/>
        <v>0</v>
      </c>
      <c r="BE95" s="60">
        <f t="shared" si="58"/>
        <v>0</v>
      </c>
      <c r="BF95" s="61">
        <f t="shared" si="71"/>
        <v>0</v>
      </c>
      <c r="BG95" s="60">
        <f t="shared" si="72"/>
        <v>0</v>
      </c>
      <c r="BH95" s="60">
        <f t="shared" si="73"/>
        <v>0</v>
      </c>
      <c r="BI95" s="50">
        <f t="shared" si="74"/>
        <v>0</v>
      </c>
    </row>
    <row r="96" spans="1:61" x14ac:dyDescent="0.2">
      <c r="A96" s="13"/>
      <c r="B96" s="67" t="s">
        <v>4</v>
      </c>
      <c r="C96" s="67" t="s">
        <v>7</v>
      </c>
      <c r="D96" s="67" t="s">
        <v>8</v>
      </c>
      <c r="E96" s="67" t="s">
        <v>65</v>
      </c>
      <c r="F96" s="67" t="s">
        <v>9</v>
      </c>
      <c r="G96" s="67" t="s">
        <v>34</v>
      </c>
      <c r="H96" s="67" t="s">
        <v>5</v>
      </c>
      <c r="I96" s="67"/>
      <c r="J96" s="2"/>
      <c r="K96" s="4"/>
      <c r="L96" s="4"/>
      <c r="M96" s="4"/>
      <c r="N96" s="4"/>
      <c r="O96" s="4"/>
      <c r="P96" s="53"/>
      <c r="Q96" s="59">
        <f t="shared" si="51"/>
        <v>1</v>
      </c>
      <c r="R96" s="59"/>
      <c r="S96" s="59"/>
      <c r="T96" s="59"/>
      <c r="U96" s="59"/>
      <c r="V96" s="59"/>
      <c r="W96" s="59"/>
      <c r="X96" s="50">
        <f t="shared" si="79"/>
        <v>124</v>
      </c>
      <c r="Y96" s="60">
        <f t="shared" si="75"/>
        <v>0</v>
      </c>
      <c r="Z96" s="60">
        <f t="shared" si="52"/>
        <v>0</v>
      </c>
      <c r="AA96" s="61">
        <f t="shared" si="59"/>
        <v>0</v>
      </c>
      <c r="AB96" s="60">
        <f t="shared" si="60"/>
        <v>0</v>
      </c>
      <c r="AC96" s="60">
        <f t="shared" si="61"/>
        <v>0</v>
      </c>
      <c r="AD96" s="61">
        <f t="shared" si="62"/>
        <v>0</v>
      </c>
      <c r="AE96" s="50">
        <f t="shared" si="63"/>
        <v>0</v>
      </c>
      <c r="AH96" s="59">
        <f t="shared" si="53"/>
        <v>1</v>
      </c>
      <c r="AI96" s="50">
        <f t="shared" si="80"/>
        <v>124</v>
      </c>
      <c r="AJ96" s="60">
        <f t="shared" si="76"/>
        <v>0</v>
      </c>
      <c r="AK96" s="60">
        <f t="shared" si="54"/>
        <v>0</v>
      </c>
      <c r="AL96" s="61">
        <f t="shared" si="64"/>
        <v>0</v>
      </c>
      <c r="AM96" s="60">
        <f t="shared" si="65"/>
        <v>0</v>
      </c>
      <c r="AN96" s="60">
        <f t="shared" si="66"/>
        <v>0</v>
      </c>
      <c r="AO96" s="50">
        <f t="shared" si="67"/>
        <v>0</v>
      </c>
      <c r="AR96" s="59">
        <f t="shared" si="55"/>
        <v>1</v>
      </c>
      <c r="AS96" s="50">
        <f t="shared" si="81"/>
        <v>124</v>
      </c>
      <c r="AT96" s="60" t="e">
        <f t="shared" si="77"/>
        <v>#REF!</v>
      </c>
      <c r="AU96" s="60">
        <f t="shared" si="56"/>
        <v>0</v>
      </c>
      <c r="AV96" s="61" t="e">
        <f>IF(AX95=0,0,IF(AS96=$E$31,-#REF!*AR96,IF(AS96&lt;$E$31,0,IF(-AV95*AR96&gt;AX95,-AX95,AV95*AR96))))</f>
        <v>#REF!</v>
      </c>
      <c r="AW96" s="60" t="e">
        <f t="shared" si="68"/>
        <v>#REF!</v>
      </c>
      <c r="AX96" s="60" t="e">
        <f t="shared" si="69"/>
        <v>#REF!</v>
      </c>
      <c r="AY96" s="50" t="e">
        <f t="shared" si="70"/>
        <v>#REF!</v>
      </c>
      <c r="BB96" s="59">
        <f t="shared" si="57"/>
        <v>1</v>
      </c>
      <c r="BC96" s="50">
        <f t="shared" si="82"/>
        <v>124</v>
      </c>
      <c r="BD96" s="60">
        <f t="shared" si="78"/>
        <v>0</v>
      </c>
      <c r="BE96" s="60">
        <f t="shared" si="58"/>
        <v>0</v>
      </c>
      <c r="BF96" s="61">
        <f t="shared" si="71"/>
        <v>0</v>
      </c>
      <c r="BG96" s="60">
        <f t="shared" si="72"/>
        <v>0</v>
      </c>
      <c r="BH96" s="60">
        <f t="shared" si="73"/>
        <v>0</v>
      </c>
      <c r="BI96" s="50">
        <f t="shared" si="74"/>
        <v>0</v>
      </c>
    </row>
    <row r="97" spans="1:61" x14ac:dyDescent="0.2">
      <c r="A97" s="13" t="s">
        <v>26</v>
      </c>
      <c r="B97" s="73">
        <v>0.1</v>
      </c>
      <c r="C97" s="68">
        <v>0</v>
      </c>
      <c r="D97" s="68">
        <v>10275</v>
      </c>
      <c r="E97" s="68">
        <f>IF($E$13="Married filing separately",IF($E$16&gt;D97,D97,$E$16),0)</f>
        <v>0</v>
      </c>
      <c r="F97" s="68">
        <f t="shared" ref="F97:F103" si="85">E97*B97</f>
        <v>0</v>
      </c>
      <c r="G97" s="68">
        <f>IF($E$13="Married filing separately",IF($F$13&gt;D97,D97,$F$13),0)</f>
        <v>0</v>
      </c>
      <c r="H97" s="68">
        <f t="shared" ref="H97:H103" si="86">G97*B97</f>
        <v>0</v>
      </c>
      <c r="I97" s="68"/>
      <c r="J97" s="4"/>
      <c r="K97" s="4"/>
      <c r="L97" s="4"/>
      <c r="M97" s="4"/>
      <c r="N97" s="4"/>
      <c r="O97" s="4"/>
      <c r="Q97" s="59">
        <f t="shared" si="51"/>
        <v>1</v>
      </c>
      <c r="R97" s="59"/>
      <c r="S97" s="59"/>
      <c r="T97" s="59"/>
      <c r="U97" s="59"/>
      <c r="V97" s="59"/>
      <c r="W97" s="59"/>
      <c r="X97" s="50">
        <f t="shared" si="79"/>
        <v>125</v>
      </c>
      <c r="Y97" s="60">
        <f t="shared" si="75"/>
        <v>0</v>
      </c>
      <c r="Z97" s="60">
        <f t="shared" si="52"/>
        <v>0</v>
      </c>
      <c r="AA97" s="61">
        <f t="shared" si="59"/>
        <v>0</v>
      </c>
      <c r="AB97" s="60">
        <f t="shared" si="60"/>
        <v>0</v>
      </c>
      <c r="AC97" s="60">
        <f t="shared" si="61"/>
        <v>0</v>
      </c>
      <c r="AD97" s="61">
        <f t="shared" si="62"/>
        <v>0</v>
      </c>
      <c r="AE97" s="50">
        <f t="shared" si="63"/>
        <v>0</v>
      </c>
      <c r="AH97" s="59">
        <f t="shared" si="53"/>
        <v>1</v>
      </c>
      <c r="AI97" s="50">
        <f t="shared" si="80"/>
        <v>125</v>
      </c>
      <c r="AJ97" s="60">
        <f t="shared" si="76"/>
        <v>0</v>
      </c>
      <c r="AK97" s="60">
        <f t="shared" si="54"/>
        <v>0</v>
      </c>
      <c r="AL97" s="61">
        <f t="shared" si="64"/>
        <v>0</v>
      </c>
      <c r="AM97" s="60">
        <f t="shared" si="65"/>
        <v>0</v>
      </c>
      <c r="AN97" s="60">
        <f t="shared" si="66"/>
        <v>0</v>
      </c>
      <c r="AO97" s="50">
        <f t="shared" si="67"/>
        <v>0</v>
      </c>
      <c r="AR97" s="59">
        <f t="shared" si="55"/>
        <v>1</v>
      </c>
      <c r="AS97" s="50">
        <f t="shared" si="81"/>
        <v>125</v>
      </c>
      <c r="AT97" s="60" t="e">
        <f t="shared" si="77"/>
        <v>#REF!</v>
      </c>
      <c r="AU97" s="60">
        <f t="shared" si="56"/>
        <v>0</v>
      </c>
      <c r="AV97" s="61" t="e">
        <f>IF(AX96=0,0,IF(AS97=$E$31,-#REF!*AR97,IF(AS97&lt;$E$31,0,IF(-AV96*AR97&gt;AX96,-AX96,AV96*AR97))))</f>
        <v>#REF!</v>
      </c>
      <c r="AW97" s="60" t="e">
        <f t="shared" si="68"/>
        <v>#REF!</v>
      </c>
      <c r="AX97" s="60" t="e">
        <f t="shared" si="69"/>
        <v>#REF!</v>
      </c>
      <c r="AY97" s="50" t="e">
        <f t="shared" si="70"/>
        <v>#REF!</v>
      </c>
      <c r="BB97" s="59">
        <f t="shared" si="57"/>
        <v>1</v>
      </c>
      <c r="BC97" s="50">
        <f t="shared" si="82"/>
        <v>125</v>
      </c>
      <c r="BD97" s="60">
        <f t="shared" si="78"/>
        <v>0</v>
      </c>
      <c r="BE97" s="60">
        <f t="shared" si="58"/>
        <v>0</v>
      </c>
      <c r="BF97" s="61">
        <f t="shared" si="71"/>
        <v>0</v>
      </c>
      <c r="BG97" s="60">
        <f t="shared" si="72"/>
        <v>0</v>
      </c>
      <c r="BH97" s="60">
        <f t="shared" si="73"/>
        <v>0</v>
      </c>
      <c r="BI97" s="50">
        <f t="shared" si="74"/>
        <v>0</v>
      </c>
    </row>
    <row r="98" spans="1:61" x14ac:dyDescent="0.2">
      <c r="A98" s="13" t="s">
        <v>26</v>
      </c>
      <c r="B98" s="73">
        <v>0.12</v>
      </c>
      <c r="C98" s="68">
        <v>10276</v>
      </c>
      <c r="D98" s="68">
        <v>41775</v>
      </c>
      <c r="E98" s="68">
        <f>IF($E$13="Married filing separately",IF($E$16&gt;D98,(D98-D97),($E$16-E97)),0)</f>
        <v>0</v>
      </c>
      <c r="F98" s="68">
        <f t="shared" si="85"/>
        <v>0</v>
      </c>
      <c r="G98" s="68">
        <f>IF($E$13="Married filing separately",IF($F$13&gt;D98,(D98-D97),($F$13-G97)),0)</f>
        <v>0</v>
      </c>
      <c r="H98" s="68">
        <f t="shared" si="86"/>
        <v>0</v>
      </c>
      <c r="I98" s="68"/>
      <c r="J98" s="4"/>
      <c r="K98" s="4"/>
      <c r="L98" s="4"/>
      <c r="M98" s="4"/>
      <c r="N98" s="4"/>
      <c r="P98" s="54"/>
      <c r="Q98" s="59">
        <f t="shared" si="51"/>
        <v>1</v>
      </c>
      <c r="R98" s="59"/>
      <c r="S98" s="59"/>
      <c r="T98" s="59"/>
      <c r="U98" s="59"/>
      <c r="V98" s="59"/>
      <c r="W98" s="59"/>
      <c r="X98" s="50">
        <f t="shared" si="79"/>
        <v>126</v>
      </c>
      <c r="Y98" s="60">
        <f t="shared" si="75"/>
        <v>0</v>
      </c>
      <c r="Z98" s="60">
        <f t="shared" si="52"/>
        <v>0</v>
      </c>
      <c r="AA98" s="61">
        <f t="shared" si="59"/>
        <v>0</v>
      </c>
      <c r="AB98" s="60">
        <f t="shared" si="60"/>
        <v>0</v>
      </c>
      <c r="AC98" s="60">
        <f t="shared" si="61"/>
        <v>0</v>
      </c>
      <c r="AD98" s="61">
        <f t="shared" si="62"/>
        <v>0</v>
      </c>
      <c r="AE98" s="50">
        <f t="shared" si="63"/>
        <v>0</v>
      </c>
      <c r="AH98" s="59">
        <f t="shared" si="53"/>
        <v>1</v>
      </c>
      <c r="AI98" s="50">
        <f t="shared" si="80"/>
        <v>126</v>
      </c>
      <c r="AJ98" s="60">
        <f t="shared" si="76"/>
        <v>0</v>
      </c>
      <c r="AK98" s="60">
        <f t="shared" si="54"/>
        <v>0</v>
      </c>
      <c r="AL98" s="61">
        <f t="shared" si="64"/>
        <v>0</v>
      </c>
      <c r="AM98" s="60">
        <f t="shared" si="65"/>
        <v>0</v>
      </c>
      <c r="AN98" s="60">
        <f t="shared" si="66"/>
        <v>0</v>
      </c>
      <c r="AO98" s="50">
        <f t="shared" si="67"/>
        <v>0</v>
      </c>
      <c r="AR98" s="59">
        <f t="shared" si="55"/>
        <v>1</v>
      </c>
      <c r="AS98" s="50">
        <f t="shared" si="81"/>
        <v>126</v>
      </c>
      <c r="AT98" s="60" t="e">
        <f t="shared" si="77"/>
        <v>#REF!</v>
      </c>
      <c r="AU98" s="60">
        <f t="shared" si="56"/>
        <v>0</v>
      </c>
      <c r="AV98" s="61" t="e">
        <f>IF(AX97=0,0,IF(AS98=$E$31,-#REF!*AR98,IF(AS98&lt;$E$31,0,IF(-AV97*AR98&gt;AX97,-AX97,AV97*AR98))))</f>
        <v>#REF!</v>
      </c>
      <c r="AW98" s="60" t="e">
        <f t="shared" si="68"/>
        <v>#REF!</v>
      </c>
      <c r="AX98" s="60" t="e">
        <f t="shared" si="69"/>
        <v>#REF!</v>
      </c>
      <c r="AY98" s="50" t="e">
        <f t="shared" si="70"/>
        <v>#REF!</v>
      </c>
      <c r="BB98" s="59">
        <f t="shared" si="57"/>
        <v>1</v>
      </c>
      <c r="BC98" s="50">
        <f t="shared" si="82"/>
        <v>126</v>
      </c>
      <c r="BD98" s="60">
        <f t="shared" si="78"/>
        <v>0</v>
      </c>
      <c r="BE98" s="60">
        <f t="shared" si="58"/>
        <v>0</v>
      </c>
      <c r="BF98" s="61">
        <f t="shared" si="71"/>
        <v>0</v>
      </c>
      <c r="BG98" s="60">
        <f t="shared" si="72"/>
        <v>0</v>
      </c>
      <c r="BH98" s="60">
        <f t="shared" si="73"/>
        <v>0</v>
      </c>
      <c r="BI98" s="50">
        <f t="shared" si="74"/>
        <v>0</v>
      </c>
    </row>
    <row r="99" spans="1:61" x14ac:dyDescent="0.2">
      <c r="A99" s="13" t="s">
        <v>26</v>
      </c>
      <c r="B99" s="73">
        <v>0.22</v>
      </c>
      <c r="C99" s="68">
        <v>41776</v>
      </c>
      <c r="D99" s="68">
        <v>89075</v>
      </c>
      <c r="E99" s="68">
        <f>IF($E$13="Married filing separately",IF($E$16&gt;D99,(D99-D98),($E$16-E98-E97)),0)</f>
        <v>0</v>
      </c>
      <c r="F99" s="68">
        <f t="shared" si="85"/>
        <v>0</v>
      </c>
      <c r="G99" s="68">
        <f>IF($E$13="Married filing separately",IF($F$13&gt;D99,(D99-D98),($F$13-G98-G97)),0)</f>
        <v>0</v>
      </c>
      <c r="H99" s="68">
        <f t="shared" si="86"/>
        <v>0</v>
      </c>
      <c r="I99" s="68"/>
      <c r="J99" s="4"/>
      <c r="O99" s="6"/>
      <c r="Q99" s="59">
        <f t="shared" si="51"/>
        <v>1</v>
      </c>
      <c r="R99" s="59"/>
      <c r="S99" s="59"/>
      <c r="T99" s="59"/>
      <c r="U99" s="59"/>
      <c r="V99" s="59"/>
      <c r="W99" s="59"/>
      <c r="X99" s="50">
        <f t="shared" si="79"/>
        <v>127</v>
      </c>
      <c r="Y99" s="60">
        <f t="shared" si="75"/>
        <v>0</v>
      </c>
      <c r="Z99" s="60">
        <f t="shared" si="52"/>
        <v>0</v>
      </c>
      <c r="AA99" s="61">
        <f t="shared" si="59"/>
        <v>0</v>
      </c>
      <c r="AB99" s="60">
        <f t="shared" si="60"/>
        <v>0</v>
      </c>
      <c r="AC99" s="60">
        <f t="shared" si="61"/>
        <v>0</v>
      </c>
      <c r="AD99" s="61">
        <f t="shared" si="62"/>
        <v>0</v>
      </c>
      <c r="AE99" s="50">
        <f t="shared" si="63"/>
        <v>0</v>
      </c>
      <c r="AH99" s="59">
        <f t="shared" si="53"/>
        <v>1</v>
      </c>
      <c r="AI99" s="50">
        <f t="shared" si="80"/>
        <v>127</v>
      </c>
      <c r="AJ99" s="60">
        <f t="shared" si="76"/>
        <v>0</v>
      </c>
      <c r="AK99" s="60">
        <f t="shared" si="54"/>
        <v>0</v>
      </c>
      <c r="AL99" s="61">
        <f t="shared" si="64"/>
        <v>0</v>
      </c>
      <c r="AM99" s="60">
        <f t="shared" si="65"/>
        <v>0</v>
      </c>
      <c r="AN99" s="60">
        <f t="shared" si="66"/>
        <v>0</v>
      </c>
      <c r="AO99" s="50">
        <f t="shared" si="67"/>
        <v>0</v>
      </c>
      <c r="AR99" s="59">
        <f t="shared" si="55"/>
        <v>1</v>
      </c>
      <c r="AS99" s="50">
        <f t="shared" si="81"/>
        <v>127</v>
      </c>
      <c r="AT99" s="60" t="e">
        <f t="shared" si="77"/>
        <v>#REF!</v>
      </c>
      <c r="AU99" s="60">
        <f t="shared" si="56"/>
        <v>0</v>
      </c>
      <c r="AV99" s="61" t="e">
        <f>IF(AX98=0,0,IF(AS99=$E$31,-#REF!*AR99,IF(AS99&lt;$E$31,0,IF(-AV98*AR99&gt;AX98,-AX98,AV98*AR99))))</f>
        <v>#REF!</v>
      </c>
      <c r="AW99" s="60" t="e">
        <f t="shared" si="68"/>
        <v>#REF!</v>
      </c>
      <c r="AX99" s="60" t="e">
        <f t="shared" si="69"/>
        <v>#REF!</v>
      </c>
      <c r="AY99" s="50" t="e">
        <f t="shared" si="70"/>
        <v>#REF!</v>
      </c>
      <c r="BB99" s="59">
        <f t="shared" si="57"/>
        <v>1</v>
      </c>
      <c r="BC99" s="50">
        <f t="shared" si="82"/>
        <v>127</v>
      </c>
      <c r="BD99" s="60">
        <f t="shared" si="78"/>
        <v>0</v>
      </c>
      <c r="BE99" s="60">
        <f t="shared" si="58"/>
        <v>0</v>
      </c>
      <c r="BF99" s="61">
        <f t="shared" si="71"/>
        <v>0</v>
      </c>
      <c r="BG99" s="60">
        <f t="shared" si="72"/>
        <v>0</v>
      </c>
      <c r="BH99" s="60">
        <f t="shared" si="73"/>
        <v>0</v>
      </c>
      <c r="BI99" s="50">
        <f t="shared" si="74"/>
        <v>0</v>
      </c>
    </row>
    <row r="100" spans="1:61" x14ac:dyDescent="0.2">
      <c r="A100" s="13" t="s">
        <v>26</v>
      </c>
      <c r="B100" s="73">
        <v>0.24</v>
      </c>
      <c r="C100" s="68">
        <v>89076</v>
      </c>
      <c r="D100" s="68">
        <v>170050</v>
      </c>
      <c r="E100" s="68">
        <f>IF($E$13="Married filing separately",IF($E$16&gt;D100,(D100-D99),($E$16-E99-E98-E97)),0)</f>
        <v>0</v>
      </c>
      <c r="F100" s="68">
        <f t="shared" si="85"/>
        <v>0</v>
      </c>
      <c r="G100" s="68">
        <f>IF($E$13="Married filing separately",IF($F$13&gt;D100,(D100-D99),($F$13-G99-G98-G97)),0)</f>
        <v>0</v>
      </c>
      <c r="H100" s="68">
        <f t="shared" si="86"/>
        <v>0</v>
      </c>
      <c r="I100" s="68"/>
      <c r="J100" s="4"/>
      <c r="K100" s="6"/>
      <c r="L100" s="6"/>
      <c r="M100" s="6"/>
      <c r="N100" s="6"/>
      <c r="Q100" s="59">
        <f t="shared" si="51"/>
        <v>1</v>
      </c>
      <c r="R100" s="59"/>
      <c r="S100" s="59"/>
      <c r="T100" s="59"/>
      <c r="U100" s="59"/>
      <c r="V100" s="59"/>
      <c r="W100" s="59"/>
      <c r="X100" s="50">
        <f t="shared" si="79"/>
        <v>128</v>
      </c>
      <c r="Y100" s="60">
        <f t="shared" si="75"/>
        <v>0</v>
      </c>
      <c r="Z100" s="60">
        <f t="shared" si="52"/>
        <v>0</v>
      </c>
      <c r="AA100" s="61">
        <f t="shared" si="59"/>
        <v>0</v>
      </c>
      <c r="AB100" s="60">
        <f t="shared" si="60"/>
        <v>0</v>
      </c>
      <c r="AC100" s="60">
        <f t="shared" si="61"/>
        <v>0</v>
      </c>
      <c r="AD100" s="61">
        <f t="shared" si="62"/>
        <v>0</v>
      </c>
      <c r="AE100" s="50">
        <f t="shared" si="63"/>
        <v>0</v>
      </c>
      <c r="AH100" s="59">
        <f t="shared" si="53"/>
        <v>1</v>
      </c>
      <c r="AI100" s="50">
        <f t="shared" si="80"/>
        <v>128</v>
      </c>
      <c r="AJ100" s="60">
        <f t="shared" si="76"/>
        <v>0</v>
      </c>
      <c r="AK100" s="60">
        <f t="shared" si="54"/>
        <v>0</v>
      </c>
      <c r="AL100" s="61">
        <f t="shared" si="64"/>
        <v>0</v>
      </c>
      <c r="AM100" s="60">
        <f t="shared" si="65"/>
        <v>0</v>
      </c>
      <c r="AN100" s="60">
        <f t="shared" si="66"/>
        <v>0</v>
      </c>
      <c r="AO100" s="50">
        <f t="shared" si="67"/>
        <v>0</v>
      </c>
      <c r="AR100" s="59">
        <f t="shared" si="55"/>
        <v>1</v>
      </c>
      <c r="AS100" s="50">
        <f t="shared" si="81"/>
        <v>128</v>
      </c>
      <c r="AT100" s="60" t="e">
        <f t="shared" si="77"/>
        <v>#REF!</v>
      </c>
      <c r="AU100" s="60">
        <f t="shared" si="56"/>
        <v>0</v>
      </c>
      <c r="AV100" s="61" t="e">
        <f>IF(AX99=0,0,IF(AS100=$E$31,-#REF!*AR100,IF(AS100&lt;$E$31,0,IF(-AV99*AR100&gt;AX99,-AX99,AV99*AR100))))</f>
        <v>#REF!</v>
      </c>
      <c r="AW100" s="60" t="e">
        <f t="shared" si="68"/>
        <v>#REF!</v>
      </c>
      <c r="AX100" s="60" t="e">
        <f t="shared" si="69"/>
        <v>#REF!</v>
      </c>
      <c r="AY100" s="50" t="e">
        <f t="shared" si="70"/>
        <v>#REF!</v>
      </c>
      <c r="BB100" s="59">
        <f t="shared" si="57"/>
        <v>1</v>
      </c>
      <c r="BC100" s="50">
        <f t="shared" si="82"/>
        <v>128</v>
      </c>
      <c r="BD100" s="60">
        <f t="shared" si="78"/>
        <v>0</v>
      </c>
      <c r="BE100" s="60">
        <f t="shared" si="58"/>
        <v>0</v>
      </c>
      <c r="BF100" s="61">
        <f t="shared" si="71"/>
        <v>0</v>
      </c>
      <c r="BG100" s="60">
        <f t="shared" si="72"/>
        <v>0</v>
      </c>
      <c r="BH100" s="60">
        <f t="shared" si="73"/>
        <v>0</v>
      </c>
      <c r="BI100" s="50">
        <f t="shared" si="74"/>
        <v>0</v>
      </c>
    </row>
    <row r="101" spans="1:61" x14ac:dyDescent="0.2">
      <c r="A101" s="13" t="s">
        <v>26</v>
      </c>
      <c r="B101" s="73">
        <v>0.32</v>
      </c>
      <c r="C101" s="68">
        <v>170051</v>
      </c>
      <c r="D101" s="68">
        <v>215950</v>
      </c>
      <c r="E101" s="68">
        <f>IF($E$13="Married filing separately",IF($E$16&gt;D101,(D101-D100),($E$16-E100-E99-E98-E97)),0)</f>
        <v>0</v>
      </c>
      <c r="F101" s="68">
        <f t="shared" si="85"/>
        <v>0</v>
      </c>
      <c r="G101" s="68">
        <f>IF($E$13="Married filing separately",IF($F$13&gt;D101,(D101-D100),($F$13-G100-G99-G98-G97)),0)</f>
        <v>0</v>
      </c>
      <c r="H101" s="68">
        <f t="shared" si="86"/>
        <v>0</v>
      </c>
      <c r="I101" s="68"/>
      <c r="J101" s="4"/>
      <c r="P101" s="55"/>
      <c r="Q101" s="59">
        <f t="shared" si="51"/>
        <v>1</v>
      </c>
      <c r="R101" s="59"/>
      <c r="S101" s="59"/>
      <c r="T101" s="59"/>
      <c r="U101" s="59"/>
      <c r="V101" s="59"/>
      <c r="W101" s="59"/>
      <c r="X101" s="50">
        <f t="shared" si="79"/>
        <v>129</v>
      </c>
      <c r="Y101" s="60">
        <f t="shared" si="75"/>
        <v>0</v>
      </c>
      <c r="Z101" s="60">
        <f t="shared" si="52"/>
        <v>0</v>
      </c>
      <c r="AA101" s="61">
        <f t="shared" si="59"/>
        <v>0</v>
      </c>
      <c r="AB101" s="60">
        <f t="shared" si="60"/>
        <v>0</v>
      </c>
      <c r="AC101" s="60">
        <f t="shared" si="61"/>
        <v>0</v>
      </c>
      <c r="AD101" s="61">
        <f t="shared" si="62"/>
        <v>0</v>
      </c>
      <c r="AE101" s="50">
        <f t="shared" si="63"/>
        <v>0</v>
      </c>
      <c r="AH101" s="59">
        <f t="shared" si="53"/>
        <v>1</v>
      </c>
      <c r="AI101" s="50">
        <f t="shared" si="80"/>
        <v>129</v>
      </c>
      <c r="AJ101" s="60">
        <f t="shared" si="76"/>
        <v>0</v>
      </c>
      <c r="AK101" s="60">
        <f t="shared" si="54"/>
        <v>0</v>
      </c>
      <c r="AL101" s="61">
        <f t="shared" si="64"/>
        <v>0</v>
      </c>
      <c r="AM101" s="60">
        <f t="shared" si="65"/>
        <v>0</v>
      </c>
      <c r="AN101" s="60">
        <f t="shared" si="66"/>
        <v>0</v>
      </c>
      <c r="AO101" s="50">
        <f t="shared" si="67"/>
        <v>0</v>
      </c>
      <c r="AR101" s="59">
        <f t="shared" si="55"/>
        <v>1</v>
      </c>
      <c r="AS101" s="50">
        <f t="shared" si="81"/>
        <v>129</v>
      </c>
      <c r="AT101" s="60" t="e">
        <f t="shared" si="77"/>
        <v>#REF!</v>
      </c>
      <c r="AU101" s="60">
        <f t="shared" si="56"/>
        <v>0</v>
      </c>
      <c r="AV101" s="61" t="e">
        <f>IF(AX100=0,0,IF(AS101=$E$31,-#REF!*AR101,IF(AS101&lt;$E$31,0,IF(-AV100*AR101&gt;AX100,-AX100,AV100*AR101))))</f>
        <v>#REF!</v>
      </c>
      <c r="AW101" s="60" t="e">
        <f t="shared" si="68"/>
        <v>#REF!</v>
      </c>
      <c r="AX101" s="60" t="e">
        <f t="shared" si="69"/>
        <v>#REF!</v>
      </c>
      <c r="AY101" s="50" t="e">
        <f t="shared" si="70"/>
        <v>#REF!</v>
      </c>
      <c r="BB101" s="59">
        <f t="shared" si="57"/>
        <v>1</v>
      </c>
      <c r="BC101" s="50">
        <f t="shared" si="82"/>
        <v>129</v>
      </c>
      <c r="BD101" s="60">
        <f t="shared" si="78"/>
        <v>0</v>
      </c>
      <c r="BE101" s="60">
        <f t="shared" si="58"/>
        <v>0</v>
      </c>
      <c r="BF101" s="61">
        <f t="shared" si="71"/>
        <v>0</v>
      </c>
      <c r="BG101" s="60">
        <f t="shared" si="72"/>
        <v>0</v>
      </c>
      <c r="BH101" s="60">
        <f t="shared" si="73"/>
        <v>0</v>
      </c>
      <c r="BI101" s="50">
        <f t="shared" si="74"/>
        <v>0</v>
      </c>
    </row>
    <row r="102" spans="1:61" x14ac:dyDescent="0.2">
      <c r="A102" s="13" t="s">
        <v>26</v>
      </c>
      <c r="B102" s="73">
        <v>0.35</v>
      </c>
      <c r="C102" s="68">
        <v>215951</v>
      </c>
      <c r="D102" s="68">
        <v>323925</v>
      </c>
      <c r="E102" s="68">
        <f>IF($E$13="Married filing separately",IF($E$16&gt;D102,(D102-D101),($E$16-E101-E100-E99-E98-E97)),0)</f>
        <v>0</v>
      </c>
      <c r="F102" s="68">
        <f t="shared" si="85"/>
        <v>0</v>
      </c>
      <c r="G102" s="68">
        <f>IF($E$13="Married filing separately",IF($F$13&gt;D102,(D102-D101),($F$13-G101-G100-G99-G98-G97)),0)</f>
        <v>0</v>
      </c>
      <c r="H102" s="68">
        <f t="shared" si="86"/>
        <v>0</v>
      </c>
      <c r="I102" s="68"/>
      <c r="J102" s="4"/>
      <c r="O102" s="10"/>
      <c r="Q102" s="59">
        <f t="shared" si="51"/>
        <v>1</v>
      </c>
      <c r="R102" s="59"/>
      <c r="S102" s="59"/>
      <c r="T102" s="59"/>
      <c r="U102" s="59"/>
      <c r="V102" s="59"/>
      <c r="W102" s="59"/>
      <c r="X102" s="50">
        <f t="shared" si="79"/>
        <v>130</v>
      </c>
      <c r="Y102" s="60">
        <f t="shared" si="75"/>
        <v>0</v>
      </c>
      <c r="Z102" s="60">
        <f t="shared" si="52"/>
        <v>0</v>
      </c>
      <c r="AA102" s="61">
        <f t="shared" si="59"/>
        <v>0</v>
      </c>
      <c r="AB102" s="60">
        <f t="shared" si="60"/>
        <v>0</v>
      </c>
      <c r="AC102" s="60">
        <f t="shared" si="61"/>
        <v>0</v>
      </c>
      <c r="AD102" s="61">
        <f t="shared" si="62"/>
        <v>0</v>
      </c>
      <c r="AE102" s="50">
        <f t="shared" si="63"/>
        <v>0</v>
      </c>
      <c r="AH102" s="59">
        <f t="shared" si="53"/>
        <v>1</v>
      </c>
      <c r="AI102" s="50">
        <f t="shared" si="80"/>
        <v>130</v>
      </c>
      <c r="AJ102" s="60">
        <f t="shared" si="76"/>
        <v>0</v>
      </c>
      <c r="AK102" s="60">
        <f t="shared" si="54"/>
        <v>0</v>
      </c>
      <c r="AL102" s="61">
        <f t="shared" si="64"/>
        <v>0</v>
      </c>
      <c r="AM102" s="60">
        <f t="shared" si="65"/>
        <v>0</v>
      </c>
      <c r="AN102" s="60">
        <f t="shared" si="66"/>
        <v>0</v>
      </c>
      <c r="AO102" s="50">
        <f t="shared" si="67"/>
        <v>0</v>
      </c>
      <c r="AR102" s="59">
        <f t="shared" si="55"/>
        <v>1</v>
      </c>
      <c r="AS102" s="50">
        <f t="shared" si="81"/>
        <v>130</v>
      </c>
      <c r="AT102" s="60" t="e">
        <f t="shared" si="77"/>
        <v>#REF!</v>
      </c>
      <c r="AU102" s="60">
        <f t="shared" si="56"/>
        <v>0</v>
      </c>
      <c r="AV102" s="61" t="e">
        <f>IF(AX101=0,0,IF(AS102=$E$31,-#REF!*AR102,IF(AS102&lt;$E$31,0,IF(-AV101*AR102&gt;AX101,-AX101,AV101*AR102))))</f>
        <v>#REF!</v>
      </c>
      <c r="AW102" s="60" t="e">
        <f t="shared" si="68"/>
        <v>#REF!</v>
      </c>
      <c r="AX102" s="60" t="e">
        <f t="shared" si="69"/>
        <v>#REF!</v>
      </c>
      <c r="AY102" s="50" t="e">
        <f t="shared" si="70"/>
        <v>#REF!</v>
      </c>
      <c r="BB102" s="59">
        <f t="shared" si="57"/>
        <v>1</v>
      </c>
      <c r="BC102" s="50">
        <f t="shared" si="82"/>
        <v>130</v>
      </c>
      <c r="BD102" s="60">
        <f t="shared" si="78"/>
        <v>0</v>
      </c>
      <c r="BE102" s="60">
        <f t="shared" si="58"/>
        <v>0</v>
      </c>
      <c r="BF102" s="61">
        <f t="shared" si="71"/>
        <v>0</v>
      </c>
      <c r="BG102" s="60">
        <f t="shared" si="72"/>
        <v>0</v>
      </c>
      <c r="BH102" s="60">
        <f t="shared" si="73"/>
        <v>0</v>
      </c>
      <c r="BI102" s="50">
        <f t="shared" si="74"/>
        <v>0</v>
      </c>
    </row>
    <row r="103" spans="1:61" x14ac:dyDescent="0.2">
      <c r="A103" s="13" t="s">
        <v>26</v>
      </c>
      <c r="B103" s="73">
        <v>0.37</v>
      </c>
      <c r="C103" s="68">
        <v>323926</v>
      </c>
      <c r="D103" s="68"/>
      <c r="E103" s="68">
        <f>IF($E$13="Married filing separately",IF($E$16&gt;D102,($E$16-D102),0),0)</f>
        <v>0</v>
      </c>
      <c r="F103" s="68">
        <f t="shared" si="85"/>
        <v>0</v>
      </c>
      <c r="G103" s="68">
        <f>IF($E$13="Married filing separately",IF($F$13&gt;D102,($F$13-D102),0),0)</f>
        <v>0</v>
      </c>
      <c r="H103" s="68">
        <f t="shared" si="86"/>
        <v>0</v>
      </c>
      <c r="I103" s="68"/>
      <c r="J103" s="4"/>
      <c r="K103" s="10"/>
      <c r="L103" s="10"/>
      <c r="M103" s="10"/>
      <c r="N103" s="10"/>
      <c r="Q103" s="59">
        <f t="shared" si="51"/>
        <v>1</v>
      </c>
      <c r="R103" s="59"/>
      <c r="S103" s="59"/>
      <c r="T103" s="59"/>
      <c r="U103" s="59"/>
      <c r="V103" s="59"/>
      <c r="W103" s="59"/>
      <c r="X103" s="50">
        <f t="shared" si="79"/>
        <v>131</v>
      </c>
      <c r="Y103" s="60">
        <f t="shared" si="75"/>
        <v>0</v>
      </c>
      <c r="Z103" s="60">
        <f t="shared" si="52"/>
        <v>0</v>
      </c>
      <c r="AA103" s="61">
        <f t="shared" si="59"/>
        <v>0</v>
      </c>
      <c r="AB103" s="60">
        <f t="shared" si="60"/>
        <v>0</v>
      </c>
      <c r="AC103" s="60">
        <f t="shared" si="61"/>
        <v>0</v>
      </c>
      <c r="AD103" s="61">
        <f t="shared" si="62"/>
        <v>0</v>
      </c>
      <c r="AE103" s="50">
        <f t="shared" si="63"/>
        <v>0</v>
      </c>
      <c r="AH103" s="59">
        <f t="shared" si="53"/>
        <v>1</v>
      </c>
      <c r="AI103" s="50">
        <f t="shared" si="80"/>
        <v>131</v>
      </c>
      <c r="AJ103" s="60">
        <f t="shared" si="76"/>
        <v>0</v>
      </c>
      <c r="AK103" s="60">
        <f t="shared" si="54"/>
        <v>0</v>
      </c>
      <c r="AL103" s="61">
        <f t="shared" si="64"/>
        <v>0</v>
      </c>
      <c r="AM103" s="60">
        <f t="shared" si="65"/>
        <v>0</v>
      </c>
      <c r="AN103" s="60">
        <f t="shared" si="66"/>
        <v>0</v>
      </c>
      <c r="AO103" s="50">
        <f t="shared" si="67"/>
        <v>0</v>
      </c>
      <c r="AR103" s="59">
        <f t="shared" si="55"/>
        <v>1</v>
      </c>
      <c r="AS103" s="50">
        <f t="shared" si="81"/>
        <v>131</v>
      </c>
      <c r="AT103" s="60" t="e">
        <f t="shared" si="77"/>
        <v>#REF!</v>
      </c>
      <c r="AU103" s="60">
        <f t="shared" si="56"/>
        <v>0</v>
      </c>
      <c r="AV103" s="61" t="e">
        <f>IF(AX102=0,0,IF(AS103=$E$31,-#REF!*AR103,IF(AS103&lt;$E$31,0,IF(-AV102*AR103&gt;AX102,-AX102,AV102*AR103))))</f>
        <v>#REF!</v>
      </c>
      <c r="AW103" s="60" t="e">
        <f t="shared" si="68"/>
        <v>#REF!</v>
      </c>
      <c r="AX103" s="60" t="e">
        <f t="shared" si="69"/>
        <v>#REF!</v>
      </c>
      <c r="AY103" s="50" t="e">
        <f t="shared" si="70"/>
        <v>#REF!</v>
      </c>
      <c r="BB103" s="59">
        <f t="shared" si="57"/>
        <v>1</v>
      </c>
      <c r="BC103" s="50">
        <f t="shared" si="82"/>
        <v>131</v>
      </c>
      <c r="BD103" s="60">
        <f t="shared" si="78"/>
        <v>0</v>
      </c>
      <c r="BE103" s="60">
        <f t="shared" si="58"/>
        <v>0</v>
      </c>
      <c r="BF103" s="61">
        <f t="shared" si="71"/>
        <v>0</v>
      </c>
      <c r="BG103" s="60">
        <f t="shared" si="72"/>
        <v>0</v>
      </c>
      <c r="BH103" s="60">
        <f t="shared" si="73"/>
        <v>0</v>
      </c>
      <c r="BI103" s="50">
        <f t="shared" si="74"/>
        <v>0</v>
      </c>
    </row>
    <row r="104" spans="1:61" x14ac:dyDescent="0.2">
      <c r="A104" s="73"/>
      <c r="B104" s="13"/>
      <c r="C104" s="13"/>
      <c r="D104" s="13"/>
      <c r="E104" s="17"/>
      <c r="F104" s="13"/>
      <c r="G104" s="17"/>
      <c r="H104" s="13"/>
      <c r="I104" s="13"/>
      <c r="Q104" s="59">
        <f t="shared" si="51"/>
        <v>1</v>
      </c>
      <c r="R104" s="59"/>
      <c r="S104" s="59"/>
      <c r="T104" s="59"/>
      <c r="U104" s="59"/>
      <c r="V104" s="59"/>
      <c r="W104" s="59"/>
      <c r="X104" s="50">
        <f t="shared" si="79"/>
        <v>132</v>
      </c>
      <c r="Y104" s="60">
        <f t="shared" si="75"/>
        <v>0</v>
      </c>
      <c r="Z104" s="60">
        <f t="shared" si="52"/>
        <v>0</v>
      </c>
      <c r="AA104" s="61">
        <f t="shared" si="59"/>
        <v>0</v>
      </c>
      <c r="AB104" s="60">
        <f t="shared" si="60"/>
        <v>0</v>
      </c>
      <c r="AC104" s="60">
        <f t="shared" si="61"/>
        <v>0</v>
      </c>
      <c r="AD104" s="61">
        <f t="shared" si="62"/>
        <v>0</v>
      </c>
      <c r="AE104" s="50">
        <f t="shared" si="63"/>
        <v>0</v>
      </c>
      <c r="AH104" s="59">
        <f t="shared" si="53"/>
        <v>1</v>
      </c>
      <c r="AI104" s="50">
        <f t="shared" si="80"/>
        <v>132</v>
      </c>
      <c r="AJ104" s="60">
        <f t="shared" si="76"/>
        <v>0</v>
      </c>
      <c r="AK104" s="60">
        <f t="shared" si="54"/>
        <v>0</v>
      </c>
      <c r="AL104" s="61">
        <f t="shared" si="64"/>
        <v>0</v>
      </c>
      <c r="AM104" s="60">
        <f t="shared" si="65"/>
        <v>0</v>
      </c>
      <c r="AN104" s="60">
        <f t="shared" si="66"/>
        <v>0</v>
      </c>
      <c r="AO104" s="50">
        <f t="shared" si="67"/>
        <v>0</v>
      </c>
      <c r="AR104" s="59">
        <f t="shared" si="55"/>
        <v>1</v>
      </c>
      <c r="AS104" s="50">
        <f t="shared" si="81"/>
        <v>132</v>
      </c>
      <c r="AT104" s="60" t="e">
        <f t="shared" si="77"/>
        <v>#REF!</v>
      </c>
      <c r="AU104" s="60">
        <f t="shared" si="56"/>
        <v>0</v>
      </c>
      <c r="AV104" s="61" t="e">
        <f>IF(AX103=0,0,IF(AS104=$E$31,-#REF!*AR104,IF(AS104&lt;$E$31,0,IF(-AV103*AR104&gt;AX103,-AX103,AV103*AR104))))</f>
        <v>#REF!</v>
      </c>
      <c r="AW104" s="60" t="e">
        <f t="shared" si="68"/>
        <v>#REF!</v>
      </c>
      <c r="AX104" s="60" t="e">
        <f t="shared" si="69"/>
        <v>#REF!</v>
      </c>
      <c r="AY104" s="50" t="e">
        <f t="shared" si="70"/>
        <v>#REF!</v>
      </c>
      <c r="BB104" s="59">
        <f t="shared" si="57"/>
        <v>1</v>
      </c>
      <c r="BC104" s="50">
        <f t="shared" si="82"/>
        <v>132</v>
      </c>
      <c r="BD104" s="60">
        <f t="shared" si="78"/>
        <v>0</v>
      </c>
      <c r="BE104" s="60">
        <f t="shared" si="58"/>
        <v>0</v>
      </c>
      <c r="BF104" s="61">
        <f t="shared" si="71"/>
        <v>0</v>
      </c>
      <c r="BG104" s="60">
        <f t="shared" si="72"/>
        <v>0</v>
      </c>
      <c r="BH104" s="60">
        <f t="shared" si="73"/>
        <v>0</v>
      </c>
      <c r="BI104" s="50">
        <f t="shared" si="74"/>
        <v>0</v>
      </c>
    </row>
    <row r="105" spans="1:61" x14ac:dyDescent="0.2">
      <c r="A105" s="73"/>
      <c r="B105" s="13"/>
      <c r="C105" s="13"/>
      <c r="D105" s="13"/>
      <c r="E105" s="71" t="s">
        <v>11</v>
      </c>
      <c r="F105" s="69">
        <f>SUM(F97:F103)</f>
        <v>0</v>
      </c>
      <c r="G105" s="71" t="s">
        <v>11</v>
      </c>
      <c r="H105" s="69">
        <f>SUM(H97:H103)</f>
        <v>0</v>
      </c>
      <c r="I105" s="69"/>
      <c r="J105" s="6"/>
      <c r="Q105" s="59">
        <f t="shared" ref="Q105:Q112" si="87">IF(X105&gt;$E$31,(1+$E$54),1)</f>
        <v>1</v>
      </c>
      <c r="R105" s="59"/>
      <c r="S105" s="59"/>
      <c r="T105" s="59"/>
      <c r="U105" s="59"/>
      <c r="V105" s="59"/>
      <c r="W105" s="59"/>
      <c r="X105" s="50">
        <f t="shared" si="79"/>
        <v>133</v>
      </c>
      <c r="Y105" s="60">
        <f t="shared" si="75"/>
        <v>0</v>
      </c>
      <c r="Z105" s="60">
        <f t="shared" ref="Z105:Z112" si="88">IF(X105&gt;=$E$31,0,$E$17)</f>
        <v>0</v>
      </c>
      <c r="AA105" s="61">
        <f t="shared" si="59"/>
        <v>0</v>
      </c>
      <c r="AB105" s="60">
        <f t="shared" si="60"/>
        <v>0</v>
      </c>
      <c r="AC105" s="60">
        <f t="shared" si="61"/>
        <v>0</v>
      </c>
      <c r="AD105" s="61">
        <f t="shared" si="62"/>
        <v>0</v>
      </c>
      <c r="AE105" s="50">
        <f t="shared" si="63"/>
        <v>0</v>
      </c>
      <c r="AH105" s="59">
        <f t="shared" ref="AH105:AH112" si="89">IF(AI105&gt;$E$31,(1+$E$54),1)</f>
        <v>1</v>
      </c>
      <c r="AI105" s="50">
        <f t="shared" si="80"/>
        <v>133</v>
      </c>
      <c r="AJ105" s="60">
        <f t="shared" si="76"/>
        <v>0</v>
      </c>
      <c r="AK105" s="60">
        <f t="shared" ref="AK105:AK112" si="90">IF(AI105&gt;=$E$31,0,$E$18)</f>
        <v>0</v>
      </c>
      <c r="AL105" s="61">
        <f t="shared" si="64"/>
        <v>0</v>
      </c>
      <c r="AM105" s="60">
        <f t="shared" si="65"/>
        <v>0</v>
      </c>
      <c r="AN105" s="60">
        <f t="shared" si="66"/>
        <v>0</v>
      </c>
      <c r="AO105" s="50">
        <f t="shared" si="67"/>
        <v>0</v>
      </c>
      <c r="AR105" s="59">
        <f t="shared" ref="AR105:AR112" si="91">IF(AS105&gt;$E$31,(1+$E$54),1)</f>
        <v>1</v>
      </c>
      <c r="AS105" s="50">
        <f t="shared" si="81"/>
        <v>133</v>
      </c>
      <c r="AT105" s="60" t="e">
        <f t="shared" si="77"/>
        <v>#REF!</v>
      </c>
      <c r="AU105" s="60">
        <f t="shared" ref="AU105:AU112" si="92">IF(AS105&gt;=$E$31,0,$H$19)</f>
        <v>0</v>
      </c>
      <c r="AV105" s="61" t="e">
        <f>IF(AX104=0,0,IF(AS105=$E$31,-#REF!*AR105,IF(AS105&lt;$E$31,0,IF(-AV104*AR105&gt;AX104,-AX104,AV104*AR105))))</f>
        <v>#REF!</v>
      </c>
      <c r="AW105" s="60" t="e">
        <f t="shared" si="68"/>
        <v>#REF!</v>
      </c>
      <c r="AX105" s="60" t="e">
        <f t="shared" si="69"/>
        <v>#REF!</v>
      </c>
      <c r="AY105" s="50" t="e">
        <f t="shared" si="70"/>
        <v>#REF!</v>
      </c>
      <c r="BB105" s="59">
        <f t="shared" ref="BB105:BB112" si="93">IF(BC105&gt;$E$31,(1+$E$54),1)</f>
        <v>1</v>
      </c>
      <c r="BC105" s="50">
        <f t="shared" si="82"/>
        <v>133</v>
      </c>
      <c r="BD105" s="60">
        <f t="shared" si="78"/>
        <v>0</v>
      </c>
      <c r="BE105" s="60">
        <f t="shared" ref="BE105:BE112" si="94">IF(BC105&gt;=$E$31,0,$H$20)</f>
        <v>0</v>
      </c>
      <c r="BF105" s="61">
        <f t="shared" si="71"/>
        <v>0</v>
      </c>
      <c r="BG105" s="60">
        <f t="shared" si="72"/>
        <v>0</v>
      </c>
      <c r="BH105" s="60">
        <f t="shared" si="73"/>
        <v>0</v>
      </c>
      <c r="BI105" s="50">
        <f t="shared" si="74"/>
        <v>0</v>
      </c>
    </row>
    <row r="106" spans="1:61" x14ac:dyDescent="0.2">
      <c r="A106" s="73"/>
      <c r="B106" s="74"/>
      <c r="C106" s="74"/>
      <c r="D106" s="13"/>
      <c r="E106" s="13"/>
      <c r="F106" s="13"/>
      <c r="G106" s="13"/>
      <c r="H106" s="13"/>
      <c r="I106" s="13"/>
      <c r="Q106" s="59">
        <f t="shared" si="87"/>
        <v>1</v>
      </c>
      <c r="R106" s="59"/>
      <c r="S106" s="59"/>
      <c r="T106" s="59"/>
      <c r="U106" s="59"/>
      <c r="V106" s="59"/>
      <c r="W106" s="59"/>
      <c r="X106" s="50">
        <f>X105+1</f>
        <v>134</v>
      </c>
      <c r="Y106" s="60">
        <f t="shared" si="75"/>
        <v>0</v>
      </c>
      <c r="Z106" s="60">
        <f t="shared" si="88"/>
        <v>0</v>
      </c>
      <c r="AA106" s="61">
        <f t="shared" ref="AA106:AA112" si="95">IF(AC105=0,0,IF(X106=$E$31,-$E$33*Q106,IF(X106&lt;$E$31,0,IF(-AA105*Q106&gt;AC105,-AC105,AA105*Q106))))</f>
        <v>0</v>
      </c>
      <c r="AB106" s="60">
        <f t="shared" ref="AB106:AB112" si="96">IF(AC105=0,0,SUM(Y106:AA106)*$E$22)</f>
        <v>0</v>
      </c>
      <c r="AC106" s="60">
        <f t="shared" si="61"/>
        <v>0</v>
      </c>
      <c r="AD106" s="61">
        <f t="shared" ref="AD106:AD112" si="97">IF($AC105=0,0,IF($X106=$E$31,-$E$35*$Q106,IF($X106&lt;$E$31,0,IF(-$AA105*$Q106&gt;$AC105,-$AC105*AD105/AA105,$AD105*$Q106))))</f>
        <v>0</v>
      </c>
      <c r="AE106" s="50">
        <f t="shared" si="63"/>
        <v>0</v>
      </c>
      <c r="AH106" s="59">
        <f t="shared" si="89"/>
        <v>1</v>
      </c>
      <c r="AI106" s="50">
        <f t="shared" si="80"/>
        <v>134</v>
      </c>
      <c r="AJ106" s="60">
        <f t="shared" si="76"/>
        <v>0</v>
      </c>
      <c r="AK106" s="60">
        <f t="shared" si="90"/>
        <v>0</v>
      </c>
      <c r="AL106" s="61">
        <f t="shared" ref="AL106:AL112" si="98">IF(AN105=0,0,IF(AI106=$E$31,-$E$35*AH106,IF(AI106&lt;$E$31,0,IF(-AL105*AH106&gt;AN105,-AN105,AL105*AH106))))</f>
        <v>0</v>
      </c>
      <c r="AM106" s="60">
        <f t="shared" ref="AM106:AM112" si="99">IF(AN105=0,0,SUM(AJ106:AL106)*$E$22)</f>
        <v>0</v>
      </c>
      <c r="AN106" s="60">
        <f t="shared" si="66"/>
        <v>0</v>
      </c>
      <c r="AO106" s="50">
        <f t="shared" si="67"/>
        <v>0</v>
      </c>
      <c r="AR106" s="59">
        <f t="shared" si="91"/>
        <v>1</v>
      </c>
      <c r="AS106" s="50">
        <f t="shared" si="81"/>
        <v>134</v>
      </c>
      <c r="AT106" s="60" t="e">
        <f t="shared" si="77"/>
        <v>#REF!</v>
      </c>
      <c r="AU106" s="60">
        <f t="shared" si="92"/>
        <v>0</v>
      </c>
      <c r="AV106" s="61" t="e">
        <f>IF(AX105=0,0,IF(AS106=$E$31,-#REF!*AR106,IF(AS106&lt;$E$31,0,IF(-AV105*AR106&gt;AX105,-AX105,AV105*AR106))))</f>
        <v>#REF!</v>
      </c>
      <c r="AW106" s="60" t="e">
        <f t="shared" ref="AW106:AW112" si="100">IF(AX105=0,0,SUM(AT106:AV106)*$E$22)</f>
        <v>#REF!</v>
      </c>
      <c r="AX106" s="60" t="e">
        <f t="shared" si="69"/>
        <v>#REF!</v>
      </c>
      <c r="AY106" s="50" t="e">
        <f t="shared" si="70"/>
        <v>#REF!</v>
      </c>
      <c r="BB106" s="59">
        <f t="shared" si="93"/>
        <v>1</v>
      </c>
      <c r="BC106" s="50">
        <f t="shared" si="82"/>
        <v>134</v>
      </c>
      <c r="BD106" s="60">
        <f t="shared" si="78"/>
        <v>0</v>
      </c>
      <c r="BE106" s="60">
        <f t="shared" si="94"/>
        <v>0</v>
      </c>
      <c r="BF106" s="61">
        <f t="shared" ref="BF106:BF112" si="101">IF(BH105=0,0,IF(BC106=$E$31,-$E$35*BB106,IF(BC106&lt;$E$31,0,IF(-BF105*BB106&gt;BH105,-BH105,BF105*BB106))))</f>
        <v>0</v>
      </c>
      <c r="BG106" s="60">
        <f t="shared" ref="BG106:BG112" si="102">IF(BH105=0,0,SUM(BD106:BF106)*$E$22)</f>
        <v>0</v>
      </c>
      <c r="BH106" s="60">
        <f t="shared" si="73"/>
        <v>0</v>
      </c>
      <c r="BI106" s="50">
        <f t="shared" si="74"/>
        <v>0</v>
      </c>
    </row>
    <row r="107" spans="1:61" x14ac:dyDescent="0.2">
      <c r="A107" s="13"/>
      <c r="B107" s="13"/>
      <c r="C107" s="13"/>
      <c r="D107" s="13"/>
      <c r="E107" s="17"/>
      <c r="F107" s="13"/>
      <c r="G107" s="13"/>
      <c r="H107" s="13"/>
      <c r="I107" s="13"/>
      <c r="Q107" s="59">
        <f t="shared" si="87"/>
        <v>1</v>
      </c>
      <c r="R107" s="59"/>
      <c r="S107" s="59"/>
      <c r="T107" s="59"/>
      <c r="U107" s="59"/>
      <c r="V107" s="59"/>
      <c r="W107" s="59"/>
      <c r="X107" s="50">
        <f t="shared" ref="X107:X110" si="103">X106+1</f>
        <v>135</v>
      </c>
      <c r="Y107" s="60">
        <f t="shared" si="75"/>
        <v>0</v>
      </c>
      <c r="Z107" s="60">
        <f t="shared" si="88"/>
        <v>0</v>
      </c>
      <c r="AA107" s="61">
        <f t="shared" si="95"/>
        <v>0</v>
      </c>
      <c r="AB107" s="60">
        <f t="shared" si="96"/>
        <v>0</v>
      </c>
      <c r="AC107" s="60">
        <f t="shared" si="61"/>
        <v>0</v>
      </c>
      <c r="AD107" s="61">
        <f t="shared" si="97"/>
        <v>0</v>
      </c>
      <c r="AE107" s="50">
        <f t="shared" si="63"/>
        <v>0</v>
      </c>
      <c r="AH107" s="59">
        <f t="shared" si="89"/>
        <v>1</v>
      </c>
      <c r="AI107" s="50">
        <f t="shared" si="80"/>
        <v>135</v>
      </c>
      <c r="AJ107" s="60">
        <f t="shared" si="76"/>
        <v>0</v>
      </c>
      <c r="AK107" s="60">
        <f t="shared" si="90"/>
        <v>0</v>
      </c>
      <c r="AL107" s="61">
        <f t="shared" si="98"/>
        <v>0</v>
      </c>
      <c r="AM107" s="60">
        <f t="shared" si="99"/>
        <v>0</v>
      </c>
      <c r="AN107" s="60">
        <f t="shared" si="66"/>
        <v>0</v>
      </c>
      <c r="AO107" s="50">
        <f t="shared" si="67"/>
        <v>0</v>
      </c>
      <c r="AR107" s="59">
        <f t="shared" si="91"/>
        <v>1</v>
      </c>
      <c r="AS107" s="50">
        <f t="shared" si="81"/>
        <v>135</v>
      </c>
      <c r="AT107" s="60" t="e">
        <f t="shared" si="77"/>
        <v>#REF!</v>
      </c>
      <c r="AU107" s="60">
        <f t="shared" si="92"/>
        <v>0</v>
      </c>
      <c r="AV107" s="61" t="e">
        <f>IF(AX106=0,0,IF(AS107=$E$31,-#REF!*AR107,IF(AS107&lt;$E$31,0,IF(-AV106*AR107&gt;AX106,-AX106,AV106*AR107))))</f>
        <v>#REF!</v>
      </c>
      <c r="AW107" s="60" t="e">
        <f t="shared" si="100"/>
        <v>#REF!</v>
      </c>
      <c r="AX107" s="60" t="e">
        <f t="shared" si="69"/>
        <v>#REF!</v>
      </c>
      <c r="AY107" s="50" t="e">
        <f t="shared" si="70"/>
        <v>#REF!</v>
      </c>
      <c r="BB107" s="59">
        <f t="shared" si="93"/>
        <v>1</v>
      </c>
      <c r="BC107" s="50">
        <f t="shared" si="82"/>
        <v>135</v>
      </c>
      <c r="BD107" s="60">
        <f t="shared" si="78"/>
        <v>0</v>
      </c>
      <c r="BE107" s="60">
        <f t="shared" si="94"/>
        <v>0</v>
      </c>
      <c r="BF107" s="61">
        <f t="shared" si="101"/>
        <v>0</v>
      </c>
      <c r="BG107" s="60">
        <f t="shared" si="102"/>
        <v>0</v>
      </c>
      <c r="BH107" s="60">
        <f t="shared" si="73"/>
        <v>0</v>
      </c>
      <c r="BI107" s="50">
        <f t="shared" si="74"/>
        <v>0</v>
      </c>
    </row>
    <row r="108" spans="1:61" x14ac:dyDescent="0.2">
      <c r="A108" s="13"/>
      <c r="B108" s="13" t="s">
        <v>23</v>
      </c>
      <c r="C108" s="13"/>
      <c r="D108" s="13"/>
      <c r="E108" s="17" t="s">
        <v>21</v>
      </c>
      <c r="F108" s="72">
        <v>20800</v>
      </c>
      <c r="G108" s="72"/>
      <c r="H108" s="72"/>
      <c r="I108" s="75"/>
      <c r="J108" s="10"/>
      <c r="Q108" s="59">
        <f t="shared" si="87"/>
        <v>1</v>
      </c>
      <c r="R108" s="59"/>
      <c r="S108" s="59"/>
      <c r="T108" s="59"/>
      <c r="U108" s="59"/>
      <c r="V108" s="59"/>
      <c r="W108" s="59"/>
      <c r="X108" s="50">
        <f t="shared" si="103"/>
        <v>136</v>
      </c>
      <c r="Y108" s="60">
        <f t="shared" si="75"/>
        <v>0</v>
      </c>
      <c r="Z108" s="60">
        <f t="shared" si="88"/>
        <v>0</v>
      </c>
      <c r="AA108" s="61">
        <f t="shared" si="95"/>
        <v>0</v>
      </c>
      <c r="AB108" s="60">
        <f t="shared" si="96"/>
        <v>0</v>
      </c>
      <c r="AC108" s="60">
        <f t="shared" si="61"/>
        <v>0</v>
      </c>
      <c r="AD108" s="61">
        <f t="shared" si="97"/>
        <v>0</v>
      </c>
      <c r="AE108" s="50">
        <f t="shared" si="63"/>
        <v>0</v>
      </c>
      <c r="AH108" s="59">
        <f t="shared" si="89"/>
        <v>1</v>
      </c>
      <c r="AI108" s="50">
        <f t="shared" si="80"/>
        <v>136</v>
      </c>
      <c r="AJ108" s="60">
        <f t="shared" si="76"/>
        <v>0</v>
      </c>
      <c r="AK108" s="60">
        <f t="shared" si="90"/>
        <v>0</v>
      </c>
      <c r="AL108" s="61">
        <f t="shared" si="98"/>
        <v>0</v>
      </c>
      <c r="AM108" s="60">
        <f t="shared" si="99"/>
        <v>0</v>
      </c>
      <c r="AN108" s="60">
        <f t="shared" si="66"/>
        <v>0</v>
      </c>
      <c r="AO108" s="50">
        <f t="shared" si="67"/>
        <v>0</v>
      </c>
      <c r="AR108" s="59">
        <f t="shared" si="91"/>
        <v>1</v>
      </c>
      <c r="AS108" s="50">
        <f t="shared" si="81"/>
        <v>136</v>
      </c>
      <c r="AT108" s="60" t="e">
        <f t="shared" si="77"/>
        <v>#REF!</v>
      </c>
      <c r="AU108" s="60">
        <f t="shared" si="92"/>
        <v>0</v>
      </c>
      <c r="AV108" s="61" t="e">
        <f>IF(AX107=0,0,IF(AS108=$E$31,-#REF!*AR108,IF(AS108&lt;$E$31,0,IF(-AV107*AR108&gt;AX107,-AX107,AV107*AR108))))</f>
        <v>#REF!</v>
      </c>
      <c r="AW108" s="60" t="e">
        <f t="shared" si="100"/>
        <v>#REF!</v>
      </c>
      <c r="AX108" s="60" t="e">
        <f t="shared" si="69"/>
        <v>#REF!</v>
      </c>
      <c r="AY108" s="50" t="e">
        <f t="shared" si="70"/>
        <v>#REF!</v>
      </c>
      <c r="BB108" s="59">
        <f t="shared" si="93"/>
        <v>1</v>
      </c>
      <c r="BC108" s="50">
        <f t="shared" si="82"/>
        <v>136</v>
      </c>
      <c r="BD108" s="60">
        <f t="shared" si="78"/>
        <v>0</v>
      </c>
      <c r="BE108" s="60">
        <f t="shared" si="94"/>
        <v>0</v>
      </c>
      <c r="BF108" s="61">
        <f t="shared" si="101"/>
        <v>0</v>
      </c>
      <c r="BG108" s="60">
        <f t="shared" si="102"/>
        <v>0</v>
      </c>
      <c r="BH108" s="60">
        <f t="shared" si="73"/>
        <v>0</v>
      </c>
      <c r="BI108" s="50">
        <f t="shared" si="74"/>
        <v>0</v>
      </c>
    </row>
    <row r="109" spans="1:61" x14ac:dyDescent="0.2">
      <c r="A109" s="13"/>
      <c r="B109" s="67" t="s">
        <v>4</v>
      </c>
      <c r="C109" s="67" t="s">
        <v>7</v>
      </c>
      <c r="D109" s="67" t="s">
        <v>8</v>
      </c>
      <c r="E109" s="67" t="s">
        <v>65</v>
      </c>
      <c r="F109" s="67" t="s">
        <v>9</v>
      </c>
      <c r="G109" s="67" t="s">
        <v>34</v>
      </c>
      <c r="H109" s="67" t="s">
        <v>5</v>
      </c>
      <c r="I109" s="13"/>
      <c r="Q109" s="59">
        <f t="shared" si="87"/>
        <v>1</v>
      </c>
      <c r="R109" s="59"/>
      <c r="S109" s="59"/>
      <c r="T109" s="59"/>
      <c r="U109" s="59"/>
      <c r="V109" s="59"/>
      <c r="W109" s="59"/>
      <c r="X109" s="50">
        <f t="shared" si="103"/>
        <v>137</v>
      </c>
      <c r="Y109" s="60">
        <f t="shared" si="75"/>
        <v>0</v>
      </c>
      <c r="Z109" s="60">
        <f t="shared" si="88"/>
        <v>0</v>
      </c>
      <c r="AA109" s="61">
        <f t="shared" si="95"/>
        <v>0</v>
      </c>
      <c r="AB109" s="60">
        <f t="shared" si="96"/>
        <v>0</v>
      </c>
      <c r="AC109" s="60">
        <f t="shared" si="61"/>
        <v>0</v>
      </c>
      <c r="AD109" s="61">
        <f t="shared" si="97"/>
        <v>0</v>
      </c>
      <c r="AE109" s="50">
        <f t="shared" si="63"/>
        <v>0</v>
      </c>
      <c r="AH109" s="59">
        <f t="shared" si="89"/>
        <v>1</v>
      </c>
      <c r="AI109" s="50">
        <f t="shared" si="80"/>
        <v>137</v>
      </c>
      <c r="AJ109" s="60">
        <f t="shared" si="76"/>
        <v>0</v>
      </c>
      <c r="AK109" s="60">
        <f t="shared" si="90"/>
        <v>0</v>
      </c>
      <c r="AL109" s="61">
        <f t="shared" si="98"/>
        <v>0</v>
      </c>
      <c r="AM109" s="60">
        <f t="shared" si="99"/>
        <v>0</v>
      </c>
      <c r="AN109" s="60">
        <f t="shared" si="66"/>
        <v>0</v>
      </c>
      <c r="AO109" s="50">
        <f t="shared" si="67"/>
        <v>0</v>
      </c>
      <c r="AR109" s="59">
        <f t="shared" si="91"/>
        <v>1</v>
      </c>
      <c r="AS109" s="50">
        <f t="shared" si="81"/>
        <v>137</v>
      </c>
      <c r="AT109" s="60" t="e">
        <f t="shared" si="77"/>
        <v>#REF!</v>
      </c>
      <c r="AU109" s="60">
        <f t="shared" si="92"/>
        <v>0</v>
      </c>
      <c r="AV109" s="61" t="e">
        <f>IF(AX108=0,0,IF(AS109=$E$31,-#REF!*AR109,IF(AS109&lt;$E$31,0,IF(-AV108*AR109&gt;AX108,-AX108,AV108*AR109))))</f>
        <v>#REF!</v>
      </c>
      <c r="AW109" s="60" t="e">
        <f t="shared" si="100"/>
        <v>#REF!</v>
      </c>
      <c r="AX109" s="60" t="e">
        <f t="shared" si="69"/>
        <v>#REF!</v>
      </c>
      <c r="AY109" s="50" t="e">
        <f t="shared" si="70"/>
        <v>#REF!</v>
      </c>
      <c r="BB109" s="59">
        <f t="shared" si="93"/>
        <v>1</v>
      </c>
      <c r="BC109" s="50">
        <f t="shared" si="82"/>
        <v>137</v>
      </c>
      <c r="BD109" s="60">
        <f t="shared" si="78"/>
        <v>0</v>
      </c>
      <c r="BE109" s="60">
        <f t="shared" si="94"/>
        <v>0</v>
      </c>
      <c r="BF109" s="61">
        <f t="shared" si="101"/>
        <v>0</v>
      </c>
      <c r="BG109" s="60">
        <f t="shared" si="102"/>
        <v>0</v>
      </c>
      <c r="BH109" s="60">
        <f t="shared" si="73"/>
        <v>0</v>
      </c>
      <c r="BI109" s="50">
        <f t="shared" si="74"/>
        <v>0</v>
      </c>
    </row>
    <row r="110" spans="1:61" x14ac:dyDescent="0.2">
      <c r="A110" s="13" t="s">
        <v>27</v>
      </c>
      <c r="B110" s="73">
        <v>0.1</v>
      </c>
      <c r="C110" s="68">
        <v>0</v>
      </c>
      <c r="D110" s="68">
        <v>14650</v>
      </c>
      <c r="E110" s="68">
        <f>IF($E$13="Head of household",IF($E$16&gt;D110,D110,$E$16),0)</f>
        <v>0</v>
      </c>
      <c r="F110" s="68">
        <f t="shared" ref="F110:F116" si="104">E110*B110</f>
        <v>0</v>
      </c>
      <c r="G110" s="68">
        <f>IF($E$13="Head of household",IF($F$13&gt;D110,D110,$F$13),0)</f>
        <v>0</v>
      </c>
      <c r="H110" s="68">
        <f t="shared" ref="H110:H116" si="105">G110*B110</f>
        <v>0</v>
      </c>
      <c r="I110" s="13"/>
      <c r="P110" s="51"/>
      <c r="Q110" s="59">
        <f t="shared" si="87"/>
        <v>1</v>
      </c>
      <c r="R110" s="59"/>
      <c r="S110" s="59"/>
      <c r="T110" s="59"/>
      <c r="U110" s="59"/>
      <c r="V110" s="59"/>
      <c r="W110" s="59"/>
      <c r="X110" s="50">
        <f t="shared" si="103"/>
        <v>138</v>
      </c>
      <c r="Y110" s="60">
        <f t="shared" si="75"/>
        <v>0</v>
      </c>
      <c r="Z110" s="60">
        <f t="shared" si="88"/>
        <v>0</v>
      </c>
      <c r="AA110" s="61">
        <f t="shared" si="95"/>
        <v>0</v>
      </c>
      <c r="AB110" s="60">
        <f t="shared" si="96"/>
        <v>0</v>
      </c>
      <c r="AC110" s="60">
        <f t="shared" si="61"/>
        <v>0</v>
      </c>
      <c r="AD110" s="61">
        <f t="shared" si="97"/>
        <v>0</v>
      </c>
      <c r="AE110" s="50">
        <f t="shared" si="63"/>
        <v>0</v>
      </c>
      <c r="AH110" s="59">
        <f t="shared" si="89"/>
        <v>1</v>
      </c>
      <c r="AI110" s="50">
        <f t="shared" si="80"/>
        <v>138</v>
      </c>
      <c r="AJ110" s="60">
        <f t="shared" si="76"/>
        <v>0</v>
      </c>
      <c r="AK110" s="60">
        <f t="shared" si="90"/>
        <v>0</v>
      </c>
      <c r="AL110" s="61">
        <f t="shared" si="98"/>
        <v>0</v>
      </c>
      <c r="AM110" s="60">
        <f t="shared" si="99"/>
        <v>0</v>
      </c>
      <c r="AN110" s="60">
        <f t="shared" si="66"/>
        <v>0</v>
      </c>
      <c r="AO110" s="50">
        <f t="shared" si="67"/>
        <v>0</v>
      </c>
      <c r="AR110" s="59">
        <f t="shared" si="91"/>
        <v>1</v>
      </c>
      <c r="AS110" s="50">
        <f t="shared" si="81"/>
        <v>138</v>
      </c>
      <c r="AT110" s="60" t="e">
        <f t="shared" si="77"/>
        <v>#REF!</v>
      </c>
      <c r="AU110" s="60">
        <f t="shared" si="92"/>
        <v>0</v>
      </c>
      <c r="AV110" s="61" t="e">
        <f>IF(AX109=0,0,IF(AS110=$E$31,-#REF!*AR110,IF(AS110&lt;$E$31,0,IF(-AV109*AR110&gt;AX109,-AX109,AV109*AR110))))</f>
        <v>#REF!</v>
      </c>
      <c r="AW110" s="60" t="e">
        <f t="shared" si="100"/>
        <v>#REF!</v>
      </c>
      <c r="AX110" s="60" t="e">
        <f t="shared" si="69"/>
        <v>#REF!</v>
      </c>
      <c r="AY110" s="50" t="e">
        <f t="shared" si="70"/>
        <v>#REF!</v>
      </c>
      <c r="BB110" s="59">
        <f t="shared" si="93"/>
        <v>1</v>
      </c>
      <c r="BC110" s="50">
        <f t="shared" si="82"/>
        <v>138</v>
      </c>
      <c r="BD110" s="60">
        <f t="shared" si="78"/>
        <v>0</v>
      </c>
      <c r="BE110" s="60">
        <f t="shared" si="94"/>
        <v>0</v>
      </c>
      <c r="BF110" s="61">
        <f t="shared" si="101"/>
        <v>0</v>
      </c>
      <c r="BG110" s="60">
        <f t="shared" si="102"/>
        <v>0</v>
      </c>
      <c r="BH110" s="60">
        <f t="shared" si="73"/>
        <v>0</v>
      </c>
      <c r="BI110" s="50">
        <f t="shared" si="74"/>
        <v>0</v>
      </c>
    </row>
    <row r="111" spans="1:61" x14ac:dyDescent="0.2">
      <c r="A111" s="13" t="s">
        <v>27</v>
      </c>
      <c r="B111" s="73">
        <v>0.12</v>
      </c>
      <c r="C111" s="68">
        <v>14651</v>
      </c>
      <c r="D111" s="68">
        <v>55900</v>
      </c>
      <c r="E111" s="68">
        <f>IF($E$13="Head of household",IF($E$16&gt;D111,(D111-D110),($E$16-E110)),0)</f>
        <v>0</v>
      </c>
      <c r="F111" s="68">
        <f t="shared" si="104"/>
        <v>0</v>
      </c>
      <c r="G111" s="68">
        <f>IF($E$13="Head of household",IF($F$13&gt;D111,(D111-D110),($F$13-G110)),0)</f>
        <v>0</v>
      </c>
      <c r="H111" s="68">
        <f t="shared" si="105"/>
        <v>0</v>
      </c>
      <c r="I111" s="13"/>
      <c r="O111" s="9"/>
      <c r="P111" s="52"/>
      <c r="Q111" s="59">
        <f t="shared" si="87"/>
        <v>1</v>
      </c>
      <c r="R111" s="59"/>
      <c r="S111" s="59"/>
      <c r="T111" s="59"/>
      <c r="U111" s="59"/>
      <c r="V111" s="59"/>
      <c r="W111" s="59"/>
      <c r="X111" s="50">
        <f>X110+1</f>
        <v>139</v>
      </c>
      <c r="Y111" s="60">
        <f t="shared" si="75"/>
        <v>0</v>
      </c>
      <c r="Z111" s="60">
        <f t="shared" si="88"/>
        <v>0</v>
      </c>
      <c r="AA111" s="61">
        <f t="shared" si="95"/>
        <v>0</v>
      </c>
      <c r="AB111" s="60">
        <f t="shared" si="96"/>
        <v>0</v>
      </c>
      <c r="AC111" s="60">
        <f t="shared" si="61"/>
        <v>0</v>
      </c>
      <c r="AD111" s="61">
        <f t="shared" si="97"/>
        <v>0</v>
      </c>
      <c r="AE111" s="50">
        <f t="shared" si="63"/>
        <v>0</v>
      </c>
      <c r="AH111" s="59">
        <f t="shared" si="89"/>
        <v>1</v>
      </c>
      <c r="AI111" s="50">
        <f t="shared" si="80"/>
        <v>139</v>
      </c>
      <c r="AJ111" s="60">
        <f t="shared" si="76"/>
        <v>0</v>
      </c>
      <c r="AK111" s="60">
        <f t="shared" si="90"/>
        <v>0</v>
      </c>
      <c r="AL111" s="61">
        <f t="shared" si="98"/>
        <v>0</v>
      </c>
      <c r="AM111" s="60">
        <f t="shared" si="99"/>
        <v>0</v>
      </c>
      <c r="AN111" s="60">
        <f t="shared" si="66"/>
        <v>0</v>
      </c>
      <c r="AO111" s="50">
        <f t="shared" si="67"/>
        <v>0</v>
      </c>
      <c r="AR111" s="59">
        <f t="shared" si="91"/>
        <v>1</v>
      </c>
      <c r="AS111" s="50">
        <f t="shared" si="81"/>
        <v>139</v>
      </c>
      <c r="AT111" s="60" t="e">
        <f t="shared" si="77"/>
        <v>#REF!</v>
      </c>
      <c r="AU111" s="60">
        <f t="shared" si="92"/>
        <v>0</v>
      </c>
      <c r="AV111" s="61" t="e">
        <f>IF(AX110=0,0,IF(AS111=$E$31,-#REF!*AR111,IF(AS111&lt;$E$31,0,IF(-AV110*AR111&gt;AX110,-AX110,AV110*AR111))))</f>
        <v>#REF!</v>
      </c>
      <c r="AW111" s="60" t="e">
        <f t="shared" si="100"/>
        <v>#REF!</v>
      </c>
      <c r="AX111" s="60" t="e">
        <f t="shared" si="69"/>
        <v>#REF!</v>
      </c>
      <c r="AY111" s="50" t="e">
        <f t="shared" si="70"/>
        <v>#REF!</v>
      </c>
      <c r="BB111" s="59">
        <f t="shared" si="93"/>
        <v>1</v>
      </c>
      <c r="BC111" s="50">
        <f t="shared" si="82"/>
        <v>139</v>
      </c>
      <c r="BD111" s="60">
        <f t="shared" si="78"/>
        <v>0</v>
      </c>
      <c r="BE111" s="60">
        <f t="shared" si="94"/>
        <v>0</v>
      </c>
      <c r="BF111" s="61">
        <f t="shared" si="101"/>
        <v>0</v>
      </c>
      <c r="BG111" s="60">
        <f t="shared" si="102"/>
        <v>0</v>
      </c>
      <c r="BH111" s="60">
        <f t="shared" si="73"/>
        <v>0</v>
      </c>
      <c r="BI111" s="50">
        <f t="shared" si="74"/>
        <v>0</v>
      </c>
    </row>
    <row r="112" spans="1:61" x14ac:dyDescent="0.2">
      <c r="A112" s="13" t="s">
        <v>27</v>
      </c>
      <c r="B112" s="73">
        <v>0.22</v>
      </c>
      <c r="C112" s="68">
        <v>55901</v>
      </c>
      <c r="D112" s="68">
        <v>89050</v>
      </c>
      <c r="E112" s="68">
        <f>IF($E$13="Head of household",IF($E$16&gt;D112,(D112-D111),($E$16-E111-E110)),0)</f>
        <v>0</v>
      </c>
      <c r="F112" s="68">
        <f t="shared" si="104"/>
        <v>0</v>
      </c>
      <c r="G112" s="68">
        <f>IF($E$13="Head of household",IF($F$13&gt;D112,(D112-D111),($F$13-G111-G110)),0)</f>
        <v>0</v>
      </c>
      <c r="H112" s="68">
        <f t="shared" si="105"/>
        <v>0</v>
      </c>
      <c r="I112" s="13"/>
      <c r="K112" s="9"/>
      <c r="L112" s="9"/>
      <c r="M112" s="9"/>
      <c r="N112" s="9"/>
      <c r="O112" s="2"/>
      <c r="P112" s="53"/>
      <c r="Q112" s="59">
        <f t="shared" si="87"/>
        <v>1</v>
      </c>
      <c r="R112" s="59"/>
      <c r="S112" s="59"/>
      <c r="T112" s="59"/>
      <c r="U112" s="59"/>
      <c r="V112" s="59"/>
      <c r="W112" s="59"/>
      <c r="X112" s="50">
        <f t="shared" ref="X112" si="106">X111+1</f>
        <v>140</v>
      </c>
      <c r="Y112" s="60">
        <f t="shared" si="75"/>
        <v>0</v>
      </c>
      <c r="Z112" s="60">
        <f t="shared" si="88"/>
        <v>0</v>
      </c>
      <c r="AA112" s="61">
        <f t="shared" si="95"/>
        <v>0</v>
      </c>
      <c r="AB112" s="60">
        <f t="shared" si="96"/>
        <v>0</v>
      </c>
      <c r="AC112" s="60">
        <f t="shared" si="61"/>
        <v>0</v>
      </c>
      <c r="AD112" s="61">
        <f t="shared" si="97"/>
        <v>0</v>
      </c>
      <c r="AE112" s="50">
        <f t="shared" si="63"/>
        <v>0</v>
      </c>
      <c r="AH112" s="59">
        <f t="shared" si="89"/>
        <v>1</v>
      </c>
      <c r="AI112" s="50">
        <f t="shared" si="80"/>
        <v>140</v>
      </c>
      <c r="AJ112" s="60">
        <f t="shared" si="76"/>
        <v>0</v>
      </c>
      <c r="AK112" s="60">
        <f t="shared" si="90"/>
        <v>0</v>
      </c>
      <c r="AL112" s="61">
        <f t="shared" si="98"/>
        <v>0</v>
      </c>
      <c r="AM112" s="60">
        <f t="shared" si="99"/>
        <v>0</v>
      </c>
      <c r="AN112" s="60">
        <f t="shared" si="66"/>
        <v>0</v>
      </c>
      <c r="AO112" s="50">
        <f t="shared" si="67"/>
        <v>0</v>
      </c>
      <c r="AR112" s="59">
        <f t="shared" si="91"/>
        <v>1</v>
      </c>
      <c r="AS112" s="50">
        <f t="shared" si="81"/>
        <v>140</v>
      </c>
      <c r="AT112" s="60" t="e">
        <f t="shared" si="77"/>
        <v>#REF!</v>
      </c>
      <c r="AU112" s="60">
        <f t="shared" si="92"/>
        <v>0</v>
      </c>
      <c r="AV112" s="61" t="e">
        <f>IF(AX111=0,0,IF(AS112=$E$31,-#REF!*AR112,IF(AS112&lt;$E$31,0,IF(-AV111*AR112&gt;AX111,-AX111,AV111*AR112))))</f>
        <v>#REF!</v>
      </c>
      <c r="AW112" s="60" t="e">
        <f t="shared" si="100"/>
        <v>#REF!</v>
      </c>
      <c r="AX112" s="60" t="e">
        <f t="shared" si="69"/>
        <v>#REF!</v>
      </c>
      <c r="AY112" s="50" t="e">
        <f t="shared" si="70"/>
        <v>#REF!</v>
      </c>
      <c r="BB112" s="59">
        <f t="shared" si="93"/>
        <v>1</v>
      </c>
      <c r="BC112" s="50">
        <f t="shared" si="82"/>
        <v>140</v>
      </c>
      <c r="BD112" s="60">
        <f t="shared" si="78"/>
        <v>0</v>
      </c>
      <c r="BE112" s="60">
        <f t="shared" si="94"/>
        <v>0</v>
      </c>
      <c r="BF112" s="61">
        <f t="shared" si="101"/>
        <v>0</v>
      </c>
      <c r="BG112" s="60">
        <f t="shared" si="102"/>
        <v>0</v>
      </c>
      <c r="BH112" s="60">
        <f t="shared" si="73"/>
        <v>0</v>
      </c>
      <c r="BI112" s="50">
        <f t="shared" si="74"/>
        <v>0</v>
      </c>
    </row>
    <row r="113" spans="1:61" x14ac:dyDescent="0.2">
      <c r="A113" s="13" t="s">
        <v>27</v>
      </c>
      <c r="B113" s="73">
        <v>0.24</v>
      </c>
      <c r="C113" s="68">
        <v>89051</v>
      </c>
      <c r="D113" s="68">
        <v>170050</v>
      </c>
      <c r="E113" s="68">
        <f>IF($E$13="Head of household",IF($E$16&gt;D113,(D113-D112),($E$16-E112-E111-E110)),0)</f>
        <v>0</v>
      </c>
      <c r="F113" s="68">
        <f t="shared" si="104"/>
        <v>0</v>
      </c>
      <c r="G113" s="68">
        <f>IF($E$13="Head of household",IF($F$13&gt;D113,(D113-D112),($F$13-G112-G111-G110)),0)</f>
        <v>0</v>
      </c>
      <c r="H113" s="68">
        <f t="shared" si="105"/>
        <v>0</v>
      </c>
      <c r="I113" s="13"/>
      <c r="K113" s="2"/>
      <c r="L113" s="2"/>
      <c r="M113" s="2"/>
      <c r="N113" s="2"/>
      <c r="O113" s="4"/>
      <c r="P113" s="53"/>
    </row>
    <row r="114" spans="1:61" x14ac:dyDescent="0.2">
      <c r="A114" s="13" t="s">
        <v>27</v>
      </c>
      <c r="B114" s="73">
        <v>0.32</v>
      </c>
      <c r="C114" s="68">
        <v>170051</v>
      </c>
      <c r="D114" s="68">
        <v>215950</v>
      </c>
      <c r="E114" s="68">
        <f>IF($E$13="Head of household",IF($E$16&gt;D114,(D114-D113),($E$16-E113-E112-E111-E110)),0)</f>
        <v>0</v>
      </c>
      <c r="F114" s="68">
        <f t="shared" si="104"/>
        <v>0</v>
      </c>
      <c r="G114" s="68">
        <f>IF($E$13="Head of household",IF($F$13&gt;D114,(D114-D113),($F$13-G113-G112-G111-G110)),0)</f>
        <v>0</v>
      </c>
      <c r="H114" s="68">
        <f t="shared" si="105"/>
        <v>0</v>
      </c>
      <c r="I114" s="13"/>
      <c r="K114" s="4"/>
      <c r="L114" s="4"/>
      <c r="M114" s="4"/>
      <c r="N114" s="4"/>
      <c r="O114" s="4"/>
      <c r="P114" s="53"/>
    </row>
    <row r="115" spans="1:61" x14ac:dyDescent="0.2">
      <c r="A115" s="13" t="s">
        <v>27</v>
      </c>
      <c r="B115" s="73">
        <v>0.35</v>
      </c>
      <c r="C115" s="68">
        <v>215951</v>
      </c>
      <c r="D115" s="68">
        <v>539900</v>
      </c>
      <c r="E115" s="68">
        <f>IF($E$13="Head of household",IF($E$16&gt;D115,(D115-D114),($E$16-E114-E113-E112-E111-E110)),0)</f>
        <v>0</v>
      </c>
      <c r="F115" s="68">
        <f t="shared" si="104"/>
        <v>0</v>
      </c>
      <c r="G115" s="68">
        <f>IF($E$13="Head of household",IF($F$13&gt;D115,(D115-D114),($F$13-G114-G113-G112-G111-G110)),0)</f>
        <v>0</v>
      </c>
      <c r="H115" s="68">
        <f t="shared" si="105"/>
        <v>0</v>
      </c>
      <c r="I115" s="13"/>
      <c r="K115" s="4"/>
      <c r="L115" s="4"/>
      <c r="M115" s="4"/>
      <c r="N115" s="4"/>
      <c r="O115" s="4"/>
      <c r="P115" s="53"/>
    </row>
    <row r="116" spans="1:61" x14ac:dyDescent="0.2">
      <c r="A116" s="13" t="s">
        <v>27</v>
      </c>
      <c r="B116" s="73">
        <v>0.37</v>
      </c>
      <c r="C116" s="68">
        <v>539901</v>
      </c>
      <c r="D116" s="68"/>
      <c r="E116" s="68">
        <f>IF($E$13="Head of household",IF($E$16&gt;D115,($E$16-D115),0),0)</f>
        <v>0</v>
      </c>
      <c r="F116" s="68">
        <f t="shared" si="104"/>
        <v>0</v>
      </c>
      <c r="G116" s="68">
        <f>IF($E$13="Head of household",IF($F$13&gt;D115,($F$13-D115),0),0)</f>
        <v>0</v>
      </c>
      <c r="H116" s="68">
        <f t="shared" si="105"/>
        <v>0</v>
      </c>
      <c r="I116" s="13"/>
      <c r="K116" s="4"/>
      <c r="L116" s="4"/>
      <c r="M116" s="4"/>
      <c r="N116" s="4"/>
      <c r="O116" s="4"/>
      <c r="P116" s="53"/>
      <c r="AA116" s="55"/>
      <c r="AB116" s="50" t="s">
        <v>40</v>
      </c>
      <c r="AD116" s="55">
        <f>-SUM(AD9:AD112)+AE116</f>
        <v>1588928.6973089338</v>
      </c>
      <c r="AE116" s="50">
        <f>SUM(AE9:AE112)</f>
        <v>0</v>
      </c>
      <c r="AK116" s="50" t="s">
        <v>37</v>
      </c>
      <c r="AL116" s="55">
        <f>-SUM(AL9:AL112)+AO116</f>
        <v>1084040.3323390295</v>
      </c>
      <c r="AO116" s="50">
        <f>SUM(AO9:AO112)</f>
        <v>0</v>
      </c>
      <c r="AU116" s="50" t="s">
        <v>37</v>
      </c>
      <c r="AV116" s="55" t="e">
        <f>-SUM(AV9:AV112)+AY116</f>
        <v>#REF!</v>
      </c>
      <c r="AY116" s="50" t="e">
        <f>SUM(AY9:AY112)</f>
        <v>#REF!</v>
      </c>
      <c r="BE116" s="50" t="s">
        <v>37</v>
      </c>
      <c r="BF116" s="55">
        <f>-SUM(BF9:BF112)+BI116</f>
        <v>1931368.5712053203</v>
      </c>
      <c r="BI116" s="50">
        <f>SUM(BI9:BI112)</f>
        <v>0</v>
      </c>
    </row>
    <row r="117" spans="1:61" x14ac:dyDescent="0.2">
      <c r="A117" s="73"/>
      <c r="B117" s="13"/>
      <c r="C117" s="13"/>
      <c r="D117" s="13"/>
      <c r="E117" s="17"/>
      <c r="F117" s="13"/>
      <c r="G117" s="17"/>
      <c r="H117" s="13"/>
      <c r="I117" s="72"/>
      <c r="J117" s="9"/>
      <c r="K117" s="4"/>
      <c r="L117" s="4"/>
      <c r="M117" s="4"/>
      <c r="N117" s="4"/>
      <c r="O117" s="4"/>
      <c r="P117" s="53"/>
    </row>
    <row r="118" spans="1:61" x14ac:dyDescent="0.2">
      <c r="A118" s="73"/>
      <c r="B118" s="13"/>
      <c r="C118" s="13"/>
      <c r="D118" s="13"/>
      <c r="E118" s="71" t="s">
        <v>11</v>
      </c>
      <c r="F118" s="69">
        <f>SUM(F110:F116)</f>
        <v>0</v>
      </c>
      <c r="G118" s="71" t="s">
        <v>11</v>
      </c>
      <c r="H118" s="69">
        <f>SUM(H110:H116)</f>
        <v>0</v>
      </c>
      <c r="I118" s="67"/>
      <c r="J118" s="2"/>
      <c r="K118" s="4"/>
      <c r="L118" s="4"/>
      <c r="M118" s="4"/>
      <c r="N118" s="4"/>
      <c r="O118" s="4"/>
      <c r="P118" s="53"/>
      <c r="AL118" s="55">
        <f>AL116-AD116</f>
        <v>-504888.3649699043</v>
      </c>
      <c r="AV118" s="55" t="e">
        <f>AV116-AD116</f>
        <v>#REF!</v>
      </c>
      <c r="BF118" s="55">
        <f>BF116-AD116</f>
        <v>342439.87389638647</v>
      </c>
    </row>
    <row r="119" spans="1:61" x14ac:dyDescent="0.2">
      <c r="A119" s="13"/>
      <c r="B119" s="13"/>
      <c r="C119" s="13"/>
      <c r="D119" s="13"/>
      <c r="E119" s="17"/>
      <c r="F119" s="13"/>
      <c r="G119" s="13"/>
      <c r="H119" s="13"/>
      <c r="I119" s="68"/>
      <c r="J119" s="4"/>
      <c r="K119" s="4"/>
      <c r="L119" s="4"/>
      <c r="M119" s="4"/>
      <c r="N119" s="4"/>
      <c r="O119" s="4"/>
    </row>
    <row r="120" spans="1:61" x14ac:dyDescent="0.2">
      <c r="A120" s="13"/>
      <c r="B120" s="13"/>
      <c r="C120" s="13"/>
      <c r="D120" s="13"/>
      <c r="E120" s="17"/>
      <c r="F120" s="13"/>
      <c r="G120" s="13"/>
      <c r="H120" s="13"/>
      <c r="I120" s="68"/>
      <c r="J120" s="4"/>
      <c r="K120" s="4"/>
      <c r="L120" s="4"/>
      <c r="M120" s="4"/>
      <c r="N120" s="4"/>
      <c r="P120" s="54"/>
    </row>
    <row r="121" spans="1:61" x14ac:dyDescent="0.2">
      <c r="A121" s="13"/>
      <c r="B121" s="13"/>
      <c r="C121" s="13"/>
      <c r="D121" s="13"/>
      <c r="E121" s="71" t="s">
        <v>28</v>
      </c>
      <c r="F121" s="75">
        <f>SUM(F118,F105,F92,F79)</f>
        <v>18140</v>
      </c>
      <c r="G121" s="69" t="s">
        <v>33</v>
      </c>
      <c r="H121" s="75">
        <f>SUM(H118,H105,H92,H79)</f>
        <v>15940</v>
      </c>
      <c r="I121" s="68"/>
      <c r="J121" s="4"/>
      <c r="O121" s="6"/>
      <c r="BF121" s="50" t="s">
        <v>46</v>
      </c>
    </row>
    <row r="122" spans="1:61" x14ac:dyDescent="0.2">
      <c r="A122" s="13"/>
      <c r="B122" s="13"/>
      <c r="C122" s="13"/>
      <c r="D122" s="13"/>
      <c r="E122" s="17"/>
      <c r="F122" s="13"/>
      <c r="G122" s="13"/>
      <c r="H122" s="13"/>
      <c r="I122" s="68"/>
      <c r="J122" s="4"/>
      <c r="K122" s="6"/>
      <c r="L122" s="6"/>
      <c r="M122" s="6"/>
      <c r="N122" s="6"/>
    </row>
    <row r="123" spans="1:61" x14ac:dyDescent="0.2">
      <c r="A123" s="13"/>
      <c r="B123" s="13"/>
      <c r="C123" s="13"/>
      <c r="D123" s="13"/>
      <c r="E123" s="17"/>
      <c r="F123" s="13"/>
      <c r="G123" s="76" t="s">
        <v>32</v>
      </c>
      <c r="H123" s="75">
        <f>F121-H121</f>
        <v>2200</v>
      </c>
      <c r="I123" s="68"/>
      <c r="J123" s="4"/>
      <c r="P123" s="51"/>
    </row>
    <row r="124" spans="1:61" x14ac:dyDescent="0.2">
      <c r="A124" s="13"/>
      <c r="B124" s="13"/>
      <c r="C124" s="13"/>
      <c r="D124" s="13"/>
      <c r="E124" s="17"/>
      <c r="F124" s="13"/>
      <c r="G124" s="13"/>
      <c r="H124" s="13"/>
      <c r="I124" s="68"/>
      <c r="J124" s="4"/>
      <c r="O124" s="9"/>
      <c r="P124" s="52"/>
    </row>
    <row r="125" spans="1:61" x14ac:dyDescent="0.2">
      <c r="A125" s="13"/>
      <c r="B125" s="13"/>
      <c r="C125" s="13"/>
      <c r="D125" s="13"/>
      <c r="E125" s="17"/>
      <c r="F125" s="13"/>
      <c r="G125" s="13"/>
      <c r="H125" s="13"/>
      <c r="I125" s="68"/>
      <c r="J125" s="4"/>
      <c r="K125" s="9"/>
      <c r="L125" s="9"/>
      <c r="M125" s="9"/>
      <c r="N125" s="9"/>
      <c r="O125" s="2"/>
      <c r="P125" s="53"/>
    </row>
    <row r="126" spans="1:61" x14ac:dyDescent="0.2">
      <c r="A126" s="13"/>
      <c r="B126" s="13"/>
      <c r="C126" s="13"/>
      <c r="D126" s="13"/>
      <c r="E126" s="17"/>
      <c r="F126" s="13"/>
      <c r="G126" s="13"/>
      <c r="H126" s="13"/>
      <c r="I126" s="13"/>
      <c r="K126" s="2"/>
      <c r="L126" s="2"/>
      <c r="M126" s="2"/>
      <c r="N126" s="2"/>
      <c r="O126" s="4"/>
      <c r="P126" s="53"/>
    </row>
    <row r="127" spans="1:61" x14ac:dyDescent="0.2">
      <c r="A127" s="13"/>
      <c r="B127" s="13"/>
      <c r="C127" s="13"/>
      <c r="D127" s="13"/>
      <c r="E127" s="17"/>
      <c r="F127" s="13"/>
      <c r="G127" s="13"/>
      <c r="H127" s="13"/>
      <c r="I127" s="69"/>
      <c r="J127" s="6"/>
      <c r="K127" s="4"/>
      <c r="L127" s="4"/>
      <c r="M127" s="4"/>
      <c r="N127" s="4"/>
      <c r="O127" s="4"/>
      <c r="P127" s="53"/>
    </row>
    <row r="128" spans="1:61" x14ac:dyDescent="0.2">
      <c r="A128" s="13"/>
      <c r="B128" s="76"/>
      <c r="C128" s="13"/>
      <c r="D128" s="13"/>
      <c r="E128" s="17"/>
      <c r="F128" s="13"/>
      <c r="G128" s="13"/>
      <c r="H128" s="13"/>
      <c r="I128" s="13"/>
      <c r="K128" s="4"/>
      <c r="L128" s="4"/>
      <c r="M128" s="4"/>
      <c r="N128" s="4"/>
      <c r="O128" s="4"/>
      <c r="P128" s="53"/>
    </row>
    <row r="129" spans="1:16" ht="21" x14ac:dyDescent="0.25">
      <c r="A129" s="13"/>
      <c r="B129" s="70" t="s">
        <v>52</v>
      </c>
      <c r="C129" s="13"/>
      <c r="D129" s="13"/>
      <c r="E129" s="71" t="s">
        <v>53</v>
      </c>
      <c r="F129" s="13"/>
      <c r="G129" s="71" t="s">
        <v>54</v>
      </c>
      <c r="H129" s="13"/>
      <c r="I129" s="13"/>
      <c r="K129" s="4"/>
      <c r="L129" s="4"/>
      <c r="M129" s="4"/>
      <c r="N129" s="4"/>
      <c r="O129" s="4"/>
      <c r="P129" s="53"/>
    </row>
    <row r="130" spans="1:16" x14ac:dyDescent="0.2">
      <c r="A130" s="13"/>
      <c r="B130" s="13"/>
      <c r="C130" s="13"/>
      <c r="D130" s="13"/>
      <c r="E130" s="17"/>
      <c r="F130" s="13"/>
      <c r="G130" s="13"/>
      <c r="H130" s="13"/>
      <c r="I130" s="72"/>
      <c r="J130" s="9"/>
      <c r="K130" s="4"/>
      <c r="L130" s="4"/>
      <c r="M130" s="4"/>
      <c r="N130" s="4"/>
      <c r="O130" s="4"/>
      <c r="P130" s="53"/>
    </row>
    <row r="131" spans="1:16" x14ac:dyDescent="0.2">
      <c r="A131" s="13"/>
      <c r="B131" s="13" t="s">
        <v>20</v>
      </c>
      <c r="C131" s="13"/>
      <c r="D131" s="13"/>
      <c r="E131" s="17" t="s">
        <v>17</v>
      </c>
      <c r="F131" s="72">
        <v>13850</v>
      </c>
      <c r="G131" s="17"/>
      <c r="H131" s="72"/>
      <c r="I131" s="67"/>
      <c r="J131" s="2"/>
      <c r="K131" s="4"/>
      <c r="L131" s="4"/>
      <c r="M131" s="4"/>
      <c r="N131" s="4"/>
      <c r="O131" s="4"/>
      <c r="P131" s="53"/>
    </row>
    <row r="132" spans="1:16" x14ac:dyDescent="0.2">
      <c r="A132" s="13"/>
      <c r="B132" s="67" t="s">
        <v>4</v>
      </c>
      <c r="C132" s="67" t="s">
        <v>7</v>
      </c>
      <c r="D132" s="67" t="s">
        <v>8</v>
      </c>
      <c r="E132" s="67" t="s">
        <v>65</v>
      </c>
      <c r="F132" s="67" t="s">
        <v>9</v>
      </c>
      <c r="G132" s="67" t="s">
        <v>64</v>
      </c>
      <c r="H132" s="67" t="s">
        <v>5</v>
      </c>
      <c r="I132" s="68"/>
      <c r="J132" s="4"/>
      <c r="K132" s="4"/>
      <c r="L132" s="4"/>
      <c r="M132" s="4"/>
      <c r="N132" s="4"/>
      <c r="O132" s="4"/>
    </row>
    <row r="133" spans="1:16" x14ac:dyDescent="0.2">
      <c r="A133" s="13" t="s">
        <v>24</v>
      </c>
      <c r="B133" s="73">
        <v>0.1</v>
      </c>
      <c r="C133" s="68">
        <v>0</v>
      </c>
      <c r="D133" s="68">
        <v>10275</v>
      </c>
      <c r="E133" s="68">
        <f>IF($E$32="Single",IF($E$38&gt;D133,D133,$E$38),0)</f>
        <v>0</v>
      </c>
      <c r="F133" s="68">
        <f t="shared" ref="F133:F139" si="107">E133*B133</f>
        <v>0</v>
      </c>
      <c r="G133" s="68">
        <v>0</v>
      </c>
      <c r="H133" s="68">
        <v>0</v>
      </c>
      <c r="I133" s="68"/>
      <c r="J133" s="4"/>
      <c r="K133" s="4"/>
      <c r="L133" s="4"/>
      <c r="M133" s="4"/>
      <c r="N133" s="4"/>
      <c r="P133" s="54"/>
    </row>
    <row r="134" spans="1:16" x14ac:dyDescent="0.2">
      <c r="A134" s="13" t="s">
        <v>24</v>
      </c>
      <c r="B134" s="73">
        <v>0.12</v>
      </c>
      <c r="C134" s="68">
        <v>10276</v>
      </c>
      <c r="D134" s="68">
        <v>41775</v>
      </c>
      <c r="E134" s="68">
        <f>IF($E$32="Single",IF($E$38&gt;D134,(D134-D133),($E$38-E133)),0)</f>
        <v>0</v>
      </c>
      <c r="F134" s="68">
        <f t="shared" si="107"/>
        <v>0</v>
      </c>
      <c r="G134" s="68">
        <v>0</v>
      </c>
      <c r="H134" s="68">
        <v>0</v>
      </c>
      <c r="I134" s="68"/>
      <c r="J134" s="4"/>
      <c r="O134" s="6"/>
    </row>
    <row r="135" spans="1:16" x14ac:dyDescent="0.2">
      <c r="A135" s="13" t="s">
        <v>24</v>
      </c>
      <c r="B135" s="73">
        <v>0.22</v>
      </c>
      <c r="C135" s="68">
        <v>41776</v>
      </c>
      <c r="D135" s="68">
        <v>89075</v>
      </c>
      <c r="E135" s="68">
        <f>IF($E$32="Single",IF($E$38&gt;D135,(D135-D134),($E$38-E134-E133)),0)</f>
        <v>0</v>
      </c>
      <c r="F135" s="68">
        <f t="shared" si="107"/>
        <v>0</v>
      </c>
      <c r="G135" s="68">
        <v>0</v>
      </c>
      <c r="H135" s="68">
        <v>0</v>
      </c>
      <c r="I135" s="68"/>
      <c r="J135" s="4"/>
      <c r="K135" s="6"/>
      <c r="L135" s="6"/>
      <c r="M135" s="6"/>
      <c r="N135" s="6"/>
    </row>
    <row r="136" spans="1:16" x14ac:dyDescent="0.2">
      <c r="A136" s="13" t="s">
        <v>24</v>
      </c>
      <c r="B136" s="73">
        <v>0.24</v>
      </c>
      <c r="C136" s="68">
        <v>89076</v>
      </c>
      <c r="D136" s="68">
        <v>170050</v>
      </c>
      <c r="E136" s="68">
        <f>IF($E$32="Single",IF($E$38&gt;D136,(D136-D135),($E$38-E135-E134-E133)),0)</f>
        <v>0</v>
      </c>
      <c r="F136" s="68">
        <f t="shared" si="107"/>
        <v>0</v>
      </c>
      <c r="G136" s="68">
        <v>0</v>
      </c>
      <c r="H136" s="68">
        <v>0</v>
      </c>
      <c r="I136" s="68"/>
      <c r="J136" s="4"/>
      <c r="P136" s="51"/>
    </row>
    <row r="137" spans="1:16" x14ac:dyDescent="0.2">
      <c r="A137" s="13" t="s">
        <v>24</v>
      </c>
      <c r="B137" s="73">
        <v>0.32</v>
      </c>
      <c r="C137" s="68">
        <v>170051</v>
      </c>
      <c r="D137" s="68">
        <v>215950</v>
      </c>
      <c r="E137" s="68">
        <f>IF($E$32="Single",IF($E$38&gt;D137,(D137-D136),($E$38-E136-E135-E134-E133)),0)</f>
        <v>0</v>
      </c>
      <c r="F137" s="68">
        <f t="shared" si="107"/>
        <v>0</v>
      </c>
      <c r="G137" s="68">
        <v>0</v>
      </c>
      <c r="H137" s="68">
        <v>0</v>
      </c>
      <c r="I137" s="68"/>
      <c r="J137" s="4"/>
      <c r="O137" s="9"/>
      <c r="P137" s="52"/>
    </row>
    <row r="138" spans="1:16" x14ac:dyDescent="0.2">
      <c r="A138" s="13" t="s">
        <v>24</v>
      </c>
      <c r="B138" s="73">
        <v>0.35</v>
      </c>
      <c r="C138" s="68">
        <v>215951</v>
      </c>
      <c r="D138" s="68">
        <v>539900</v>
      </c>
      <c r="E138" s="68">
        <f>IF($E$32="Single",IF($E$38&gt;D138,(D138-D137),($E$38-E137-E136-E135-E134-E133)),0)</f>
        <v>0</v>
      </c>
      <c r="F138" s="68">
        <f t="shared" si="107"/>
        <v>0</v>
      </c>
      <c r="G138" s="68">
        <v>0</v>
      </c>
      <c r="H138" s="68">
        <v>0</v>
      </c>
      <c r="I138" s="68"/>
      <c r="J138" s="4"/>
      <c r="K138" s="9"/>
      <c r="L138" s="9"/>
      <c r="M138" s="9"/>
      <c r="N138" s="9"/>
      <c r="O138" s="2"/>
      <c r="P138" s="53"/>
    </row>
    <row r="139" spans="1:16" x14ac:dyDescent="0.2">
      <c r="A139" s="13" t="s">
        <v>24</v>
      </c>
      <c r="B139" s="73">
        <v>0.37</v>
      </c>
      <c r="C139" s="68">
        <v>539901</v>
      </c>
      <c r="D139" s="68"/>
      <c r="E139" s="68">
        <f>IF($E$32="Single",IF($E$38&gt;D138,($E$38-D138),0),0)</f>
        <v>0</v>
      </c>
      <c r="F139" s="68">
        <f t="shared" si="107"/>
        <v>0</v>
      </c>
      <c r="G139" s="68">
        <v>0</v>
      </c>
      <c r="H139" s="68">
        <v>0</v>
      </c>
      <c r="I139" s="13"/>
      <c r="K139" s="2"/>
      <c r="L139" s="2"/>
      <c r="M139" s="2"/>
      <c r="N139" s="2"/>
      <c r="O139" s="4"/>
      <c r="P139" s="53"/>
    </row>
    <row r="140" spans="1:16" x14ac:dyDescent="0.2">
      <c r="A140" s="13"/>
      <c r="B140" s="13"/>
      <c r="C140" s="13"/>
      <c r="D140" s="13"/>
      <c r="E140" s="17"/>
      <c r="F140" s="13"/>
      <c r="G140" s="13"/>
      <c r="H140" s="13"/>
      <c r="I140" s="69"/>
      <c r="J140" s="6"/>
      <c r="K140" s="4"/>
      <c r="L140" s="4"/>
      <c r="M140" s="4"/>
      <c r="N140" s="4"/>
      <c r="O140" s="4"/>
      <c r="P140" s="53"/>
    </row>
    <row r="141" spans="1:16" x14ac:dyDescent="0.2">
      <c r="A141" s="13"/>
      <c r="B141" s="13"/>
      <c r="C141" s="13"/>
      <c r="D141" s="13"/>
      <c r="E141" s="71" t="s">
        <v>11</v>
      </c>
      <c r="F141" s="69">
        <f>SUM(F133:F139)</f>
        <v>0</v>
      </c>
      <c r="G141" s="71" t="s">
        <v>11</v>
      </c>
      <c r="H141" s="69">
        <f>SUM(H133:H139)</f>
        <v>0</v>
      </c>
      <c r="I141" s="13"/>
      <c r="K141" s="4"/>
      <c r="L141" s="4"/>
      <c r="M141" s="4"/>
      <c r="N141" s="4"/>
      <c r="O141" s="4"/>
      <c r="P141" s="53"/>
    </row>
    <row r="142" spans="1:16" x14ac:dyDescent="0.2">
      <c r="A142" s="13"/>
      <c r="B142" s="13"/>
      <c r="C142" s="13"/>
      <c r="D142" s="13"/>
      <c r="E142" s="17"/>
      <c r="F142" s="13"/>
      <c r="G142" s="13"/>
      <c r="H142" s="13"/>
      <c r="I142" s="13"/>
      <c r="K142" s="4"/>
      <c r="L142" s="4"/>
      <c r="M142" s="4"/>
      <c r="N142" s="4"/>
      <c r="O142" s="4"/>
      <c r="P142" s="53"/>
    </row>
    <row r="143" spans="1:16" x14ac:dyDescent="0.2">
      <c r="A143" s="13"/>
      <c r="B143" s="13"/>
      <c r="C143" s="13"/>
      <c r="D143" s="13"/>
      <c r="E143" s="17"/>
      <c r="F143" s="13"/>
      <c r="G143" s="13"/>
      <c r="H143" s="13"/>
      <c r="I143" s="72"/>
      <c r="J143" s="9"/>
      <c r="K143" s="4"/>
      <c r="L143" s="4"/>
      <c r="M143" s="4"/>
      <c r="N143" s="4"/>
      <c r="O143" s="4"/>
      <c r="P143" s="53"/>
    </row>
    <row r="144" spans="1:16" x14ac:dyDescent="0.2">
      <c r="A144" s="13"/>
      <c r="B144" s="13" t="s">
        <v>10</v>
      </c>
      <c r="C144" s="13"/>
      <c r="D144" s="13"/>
      <c r="E144" s="17" t="s">
        <v>21</v>
      </c>
      <c r="F144" s="72">
        <v>27700</v>
      </c>
      <c r="G144" s="72"/>
      <c r="H144" s="72"/>
      <c r="I144" s="67"/>
      <c r="J144" s="2"/>
      <c r="K144" s="4"/>
      <c r="L144" s="4"/>
      <c r="M144" s="4"/>
      <c r="N144" s="4"/>
      <c r="O144" s="4"/>
      <c r="P144" s="53"/>
    </row>
    <row r="145" spans="1:16" x14ac:dyDescent="0.2">
      <c r="A145" s="13"/>
      <c r="B145" s="67" t="s">
        <v>4</v>
      </c>
      <c r="C145" s="67" t="s">
        <v>7</v>
      </c>
      <c r="D145" s="67" t="s">
        <v>8</v>
      </c>
      <c r="E145" s="67" t="s">
        <v>65</v>
      </c>
      <c r="F145" s="67" t="s">
        <v>9</v>
      </c>
      <c r="G145" s="67" t="s">
        <v>64</v>
      </c>
      <c r="H145" s="67" t="s">
        <v>5</v>
      </c>
      <c r="I145" s="68"/>
      <c r="J145" s="4"/>
      <c r="K145" s="4"/>
      <c r="L145" s="4"/>
      <c r="M145" s="4"/>
      <c r="N145" s="4"/>
      <c r="O145" s="4"/>
    </row>
    <row r="146" spans="1:16" x14ac:dyDescent="0.2">
      <c r="A146" s="13" t="s">
        <v>25</v>
      </c>
      <c r="B146" s="73">
        <f>10%</f>
        <v>0.1</v>
      </c>
      <c r="C146" s="68">
        <v>0</v>
      </c>
      <c r="D146" s="68">
        <v>20550</v>
      </c>
      <c r="E146" s="68">
        <f>IF($E$32="Married",IF($E$38&gt;D146,D146,$E$38),0)</f>
        <v>20550</v>
      </c>
      <c r="F146" s="68">
        <f>E146*B146</f>
        <v>2055</v>
      </c>
      <c r="G146" s="68">
        <v>0</v>
      </c>
      <c r="H146" s="68">
        <v>0</v>
      </c>
      <c r="I146" s="68"/>
      <c r="J146" s="4"/>
      <c r="K146" s="4"/>
      <c r="L146" s="4"/>
      <c r="M146" s="4"/>
      <c r="N146" s="4"/>
      <c r="P146" s="54"/>
    </row>
    <row r="147" spans="1:16" x14ac:dyDescent="0.2">
      <c r="A147" s="13" t="s">
        <v>25</v>
      </c>
      <c r="B147" s="73">
        <f>12%</f>
        <v>0.12</v>
      </c>
      <c r="C147" s="68">
        <v>20551</v>
      </c>
      <c r="D147" s="68">
        <v>83550</v>
      </c>
      <c r="E147" s="68">
        <f>IF($E$32="Married",IF($E$38&gt;D147,(D147-D146),($E$38-E146)),0)</f>
        <v>21750</v>
      </c>
      <c r="F147" s="68">
        <f t="shared" ref="F147:F152" si="108">E147*B147</f>
        <v>2610</v>
      </c>
      <c r="G147" s="68">
        <v>0</v>
      </c>
      <c r="H147" s="68">
        <v>0</v>
      </c>
      <c r="I147" s="68"/>
      <c r="J147" s="4"/>
      <c r="O147" s="6"/>
    </row>
    <row r="148" spans="1:16" x14ac:dyDescent="0.2">
      <c r="A148" s="13" t="s">
        <v>25</v>
      </c>
      <c r="B148" s="73">
        <f>22%</f>
        <v>0.22</v>
      </c>
      <c r="C148" s="68">
        <v>83551</v>
      </c>
      <c r="D148" s="68">
        <v>178150</v>
      </c>
      <c r="E148" s="68">
        <f>IF($E$32="Married",IF($E$38&gt;D148,(D148-D147),($E$38-E147-E146)),0)</f>
        <v>0</v>
      </c>
      <c r="F148" s="68">
        <f>E148*B148</f>
        <v>0</v>
      </c>
      <c r="G148" s="68">
        <v>0</v>
      </c>
      <c r="H148" s="68">
        <v>0</v>
      </c>
      <c r="I148" s="68"/>
      <c r="J148" s="4"/>
      <c r="K148" s="6"/>
      <c r="L148" s="6"/>
      <c r="M148" s="6"/>
      <c r="N148" s="6"/>
    </row>
    <row r="149" spans="1:16" x14ac:dyDescent="0.2">
      <c r="A149" s="13" t="s">
        <v>25</v>
      </c>
      <c r="B149" s="73">
        <f>24%</f>
        <v>0.24</v>
      </c>
      <c r="C149" s="68">
        <v>178151</v>
      </c>
      <c r="D149" s="68">
        <v>340100</v>
      </c>
      <c r="E149" s="68">
        <f>IF($E$32="Married",IF($E$38&gt;D149,(D149-D148),($E$38-E148-E147-E146)),0)</f>
        <v>0</v>
      </c>
      <c r="F149" s="68">
        <f>E149*B149</f>
        <v>0</v>
      </c>
      <c r="G149" s="68">
        <v>0</v>
      </c>
      <c r="H149" s="68">
        <v>0</v>
      </c>
      <c r="I149" s="68"/>
      <c r="J149" s="4"/>
      <c r="P149" s="51"/>
    </row>
    <row r="150" spans="1:16" x14ac:dyDescent="0.2">
      <c r="A150" s="13" t="s">
        <v>25</v>
      </c>
      <c r="B150" s="73">
        <f>32%</f>
        <v>0.32</v>
      </c>
      <c r="C150" s="68">
        <v>340101</v>
      </c>
      <c r="D150" s="68">
        <v>431900</v>
      </c>
      <c r="E150" s="68">
        <f>IF($E$32="Married",IF($E$38&gt;D150,(D150-D149),($E$38-E149-E148-E147-E146)),0)</f>
        <v>0</v>
      </c>
      <c r="F150" s="68">
        <f>E150*B150</f>
        <v>0</v>
      </c>
      <c r="G150" s="68">
        <v>0</v>
      </c>
      <c r="H150" s="68">
        <v>0</v>
      </c>
      <c r="I150" s="68"/>
      <c r="J150" s="4"/>
      <c r="O150" s="9"/>
      <c r="P150" s="52"/>
    </row>
    <row r="151" spans="1:16" x14ac:dyDescent="0.2">
      <c r="A151" s="13" t="s">
        <v>25</v>
      </c>
      <c r="B151" s="73">
        <f>35%</f>
        <v>0.35</v>
      </c>
      <c r="C151" s="68">
        <v>431901</v>
      </c>
      <c r="D151" s="68">
        <v>647850</v>
      </c>
      <c r="E151" s="68">
        <f>IF($E$32="Married",IF($E$38&gt;D151,(D151-D150),($E$38-E150-E149-E148-E147-E146)),0)</f>
        <v>0</v>
      </c>
      <c r="F151" s="68">
        <f>E151*B151</f>
        <v>0</v>
      </c>
      <c r="G151" s="68">
        <v>0</v>
      </c>
      <c r="H151" s="68">
        <v>0</v>
      </c>
      <c r="I151" s="68"/>
      <c r="J151" s="4"/>
      <c r="K151" s="9"/>
      <c r="L151" s="9"/>
      <c r="M151" s="9"/>
      <c r="N151" s="9"/>
      <c r="O151" s="2"/>
      <c r="P151" s="53"/>
    </row>
    <row r="152" spans="1:16" x14ac:dyDescent="0.2">
      <c r="A152" s="13" t="s">
        <v>25</v>
      </c>
      <c r="B152" s="73">
        <f>37%</f>
        <v>0.37</v>
      </c>
      <c r="C152" s="68">
        <v>647851</v>
      </c>
      <c r="D152" s="68"/>
      <c r="E152" s="68">
        <f>IF($E$32="Married",IF($E$38&gt;D151,($E$38-D151),0),0)</f>
        <v>0</v>
      </c>
      <c r="F152" s="68">
        <f t="shared" si="108"/>
        <v>0</v>
      </c>
      <c r="G152" s="68">
        <v>0</v>
      </c>
      <c r="H152" s="68">
        <v>0</v>
      </c>
      <c r="I152" s="13"/>
      <c r="K152" s="2"/>
      <c r="L152" s="2"/>
      <c r="M152" s="2"/>
      <c r="N152" s="2"/>
      <c r="O152" s="4"/>
      <c r="P152" s="53"/>
    </row>
    <row r="153" spans="1:16" x14ac:dyDescent="0.2">
      <c r="A153" s="13"/>
      <c r="B153" s="13"/>
      <c r="C153" s="13"/>
      <c r="D153" s="13"/>
      <c r="E153" s="17"/>
      <c r="F153" s="13"/>
      <c r="G153" s="17"/>
      <c r="H153" s="13"/>
      <c r="I153" s="69"/>
      <c r="J153" s="6"/>
      <c r="K153" s="4"/>
      <c r="L153" s="4"/>
      <c r="M153" s="4"/>
      <c r="N153" s="4"/>
      <c r="O153" s="4"/>
      <c r="P153" s="53"/>
    </row>
    <row r="154" spans="1:16" x14ac:dyDescent="0.2">
      <c r="A154" s="13"/>
      <c r="B154" s="13"/>
      <c r="C154" s="13"/>
      <c r="D154" s="13"/>
      <c r="E154" s="71" t="s">
        <v>11</v>
      </c>
      <c r="F154" s="69">
        <f>SUM(F146:F152)</f>
        <v>4665</v>
      </c>
      <c r="G154" s="71" t="s">
        <v>11</v>
      </c>
      <c r="H154" s="69">
        <f>SUM(H146:H152)</f>
        <v>0</v>
      </c>
      <c r="I154" s="13"/>
      <c r="K154" s="4"/>
      <c r="L154" s="4"/>
      <c r="M154" s="4"/>
      <c r="N154" s="4"/>
      <c r="O154" s="4"/>
      <c r="P154" s="53"/>
    </row>
    <row r="155" spans="1:16" x14ac:dyDescent="0.2">
      <c r="A155" s="13"/>
      <c r="B155" s="13"/>
      <c r="C155" s="13"/>
      <c r="D155" s="13"/>
      <c r="E155" s="17"/>
      <c r="F155" s="13"/>
      <c r="G155" s="13"/>
      <c r="H155" s="13"/>
      <c r="I155" s="13"/>
      <c r="K155" s="4"/>
      <c r="L155" s="4"/>
      <c r="M155" s="4"/>
      <c r="N155" s="4"/>
      <c r="O155" s="4"/>
      <c r="P155" s="53"/>
    </row>
    <row r="156" spans="1:16" x14ac:dyDescent="0.2">
      <c r="A156" s="13"/>
      <c r="B156" s="13"/>
      <c r="C156" s="13"/>
      <c r="D156" s="13"/>
      <c r="E156" s="17"/>
      <c r="F156" s="13"/>
      <c r="G156" s="13"/>
      <c r="H156" s="13"/>
      <c r="I156" s="72"/>
      <c r="J156" s="9"/>
      <c r="K156" s="4"/>
      <c r="L156" s="4"/>
      <c r="M156" s="4"/>
      <c r="N156" s="4"/>
      <c r="O156" s="4"/>
      <c r="P156" s="53"/>
    </row>
    <row r="157" spans="1:16" x14ac:dyDescent="0.2">
      <c r="A157" s="13"/>
      <c r="B157" s="13" t="s">
        <v>22</v>
      </c>
      <c r="C157" s="13"/>
      <c r="D157" s="13"/>
      <c r="E157" s="17" t="s">
        <v>21</v>
      </c>
      <c r="F157" s="72">
        <v>13850</v>
      </c>
      <c r="G157" s="72"/>
      <c r="H157" s="72"/>
      <c r="I157" s="67"/>
      <c r="J157" s="2"/>
      <c r="K157" s="4"/>
      <c r="L157" s="4"/>
      <c r="M157" s="4"/>
      <c r="N157" s="4"/>
      <c r="O157" s="4"/>
      <c r="P157" s="53"/>
    </row>
    <row r="158" spans="1:16" x14ac:dyDescent="0.2">
      <c r="A158" s="13"/>
      <c r="B158" s="67" t="s">
        <v>4</v>
      </c>
      <c r="C158" s="67" t="s">
        <v>7</v>
      </c>
      <c r="D158" s="67" t="s">
        <v>8</v>
      </c>
      <c r="E158" s="67" t="s">
        <v>65</v>
      </c>
      <c r="F158" s="67" t="s">
        <v>9</v>
      </c>
      <c r="G158" s="67" t="s">
        <v>64</v>
      </c>
      <c r="H158" s="67" t="s">
        <v>5</v>
      </c>
      <c r="I158" s="68"/>
      <c r="J158" s="4"/>
      <c r="K158" s="4"/>
      <c r="L158" s="4"/>
      <c r="M158" s="4"/>
      <c r="N158" s="4"/>
      <c r="O158" s="4"/>
    </row>
    <row r="159" spans="1:16" x14ac:dyDescent="0.2">
      <c r="A159" s="13" t="s">
        <v>26</v>
      </c>
      <c r="B159" s="73">
        <v>0.1</v>
      </c>
      <c r="C159" s="68">
        <v>0</v>
      </c>
      <c r="D159" s="68">
        <v>10275</v>
      </c>
      <c r="E159" s="68">
        <f>IF($E$32="Married filing separately",IF($E$38&gt;D159,D159,$E$38),0)</f>
        <v>0</v>
      </c>
      <c r="F159" s="68">
        <f t="shared" ref="F159:F165" si="109">E159*B159</f>
        <v>0</v>
      </c>
      <c r="G159" s="68">
        <v>0</v>
      </c>
      <c r="H159" s="68">
        <v>0</v>
      </c>
      <c r="I159" s="68"/>
      <c r="J159" s="4"/>
      <c r="K159" s="4"/>
      <c r="L159" s="4"/>
      <c r="M159" s="4"/>
      <c r="N159" s="4"/>
      <c r="P159" s="54"/>
    </row>
    <row r="160" spans="1:16" x14ac:dyDescent="0.2">
      <c r="A160" s="13" t="s">
        <v>26</v>
      </c>
      <c r="B160" s="73">
        <v>0.12</v>
      </c>
      <c r="C160" s="68">
        <v>10276</v>
      </c>
      <c r="D160" s="68">
        <v>41775</v>
      </c>
      <c r="E160" s="68">
        <f>IF($E$32="Married filing separately",IF($E$38&gt;D160,(D160-D159),($E$38-E159)),0)</f>
        <v>0</v>
      </c>
      <c r="F160" s="68">
        <f t="shared" si="109"/>
        <v>0</v>
      </c>
      <c r="G160" s="68">
        <v>0</v>
      </c>
      <c r="H160" s="68">
        <v>0</v>
      </c>
      <c r="I160" s="68"/>
      <c r="J160" s="4"/>
      <c r="O160" s="6"/>
    </row>
    <row r="161" spans="1:16" x14ac:dyDescent="0.2">
      <c r="A161" s="13" t="s">
        <v>26</v>
      </c>
      <c r="B161" s="73">
        <v>0.22</v>
      </c>
      <c r="C161" s="68">
        <v>41776</v>
      </c>
      <c r="D161" s="68">
        <v>89075</v>
      </c>
      <c r="E161" s="68">
        <f>IF($E$32="Married filing separately",IF($E$38&gt;D161,(D161-D160),($E$38-E160-E159)),0)</f>
        <v>0</v>
      </c>
      <c r="F161" s="68">
        <f t="shared" si="109"/>
        <v>0</v>
      </c>
      <c r="G161" s="68">
        <v>0</v>
      </c>
      <c r="H161" s="68">
        <v>0</v>
      </c>
      <c r="I161" s="68"/>
      <c r="J161" s="4"/>
      <c r="K161" s="6"/>
      <c r="L161" s="6"/>
      <c r="M161" s="6"/>
      <c r="N161" s="6"/>
    </row>
    <row r="162" spans="1:16" x14ac:dyDescent="0.2">
      <c r="A162" s="13" t="s">
        <v>26</v>
      </c>
      <c r="B162" s="73">
        <v>0.24</v>
      </c>
      <c r="C162" s="68">
        <v>89076</v>
      </c>
      <c r="D162" s="68">
        <v>170050</v>
      </c>
      <c r="E162" s="68">
        <f>IF($E$32="Married filing separately",IF($E$38&gt;D162,(D162-D161),($E$38-E161-E160-E159)),0)</f>
        <v>0</v>
      </c>
      <c r="F162" s="68">
        <f t="shared" si="109"/>
        <v>0</v>
      </c>
      <c r="G162" s="68">
        <v>0</v>
      </c>
      <c r="H162" s="68">
        <v>0</v>
      </c>
      <c r="I162" s="68"/>
      <c r="J162" s="4"/>
      <c r="P162" s="55"/>
    </row>
    <row r="163" spans="1:16" x14ac:dyDescent="0.2">
      <c r="A163" s="13" t="s">
        <v>26</v>
      </c>
      <c r="B163" s="73">
        <v>0.32</v>
      </c>
      <c r="C163" s="68">
        <v>170051</v>
      </c>
      <c r="D163" s="68">
        <v>215950</v>
      </c>
      <c r="E163" s="68">
        <f>IF($E$32="Married filing separately",IF($E$38&gt;D163,(D163-D162),($E$38-E162-E161-E160-E159)),0)</f>
        <v>0</v>
      </c>
      <c r="F163" s="68">
        <f t="shared" si="109"/>
        <v>0</v>
      </c>
      <c r="G163" s="68">
        <v>0</v>
      </c>
      <c r="H163" s="68">
        <v>0</v>
      </c>
      <c r="I163" s="68"/>
      <c r="J163" s="4"/>
      <c r="O163" s="10"/>
    </row>
    <row r="164" spans="1:16" x14ac:dyDescent="0.2">
      <c r="A164" s="13" t="s">
        <v>26</v>
      </c>
      <c r="B164" s="73">
        <v>0.35</v>
      </c>
      <c r="C164" s="68">
        <v>215951</v>
      </c>
      <c r="D164" s="68">
        <v>323925</v>
      </c>
      <c r="E164" s="68">
        <f>IF($E$32="Married filing separately",IF($E$38&gt;D164,(D164-D163),($E$38-E163-E162-E161-E160-E159)),0)</f>
        <v>0</v>
      </c>
      <c r="F164" s="68">
        <f t="shared" si="109"/>
        <v>0</v>
      </c>
      <c r="G164" s="68">
        <v>0</v>
      </c>
      <c r="H164" s="68">
        <v>0</v>
      </c>
      <c r="I164" s="68"/>
      <c r="J164" s="4"/>
      <c r="K164" s="10"/>
      <c r="L164" s="10"/>
      <c r="M164" s="10"/>
      <c r="N164" s="10"/>
      <c r="P164" s="55"/>
    </row>
    <row r="165" spans="1:16" x14ac:dyDescent="0.2">
      <c r="A165" s="13" t="s">
        <v>26</v>
      </c>
      <c r="B165" s="73">
        <v>0.37</v>
      </c>
      <c r="C165" s="68">
        <v>323926</v>
      </c>
      <c r="D165" s="68"/>
      <c r="E165" s="68">
        <f>IF($E$32="Married filing separately",IF($E$38&gt;D164,($E$38-D164),0),0)</f>
        <v>0</v>
      </c>
      <c r="F165" s="68">
        <f t="shared" si="109"/>
        <v>0</v>
      </c>
      <c r="G165" s="68">
        <v>0</v>
      </c>
      <c r="H165" s="68">
        <v>0</v>
      </c>
      <c r="I165" s="13"/>
      <c r="O165" s="10"/>
    </row>
    <row r="166" spans="1:16" x14ac:dyDescent="0.2">
      <c r="A166" s="73"/>
      <c r="B166" s="13"/>
      <c r="C166" s="13"/>
      <c r="D166" s="13"/>
      <c r="E166" s="17"/>
      <c r="F166" s="13"/>
      <c r="G166" s="17"/>
      <c r="H166" s="13"/>
      <c r="I166" s="69"/>
      <c r="J166" s="6"/>
      <c r="K166" s="10"/>
      <c r="L166" s="10"/>
      <c r="M166" s="10"/>
      <c r="N166" s="10"/>
    </row>
    <row r="167" spans="1:16" x14ac:dyDescent="0.2">
      <c r="A167" s="73"/>
      <c r="B167" s="13"/>
      <c r="C167" s="13"/>
      <c r="D167" s="13"/>
      <c r="E167" s="71" t="s">
        <v>11</v>
      </c>
      <c r="F167" s="69">
        <f>SUM(F159:F165)</f>
        <v>0</v>
      </c>
      <c r="G167" s="71" t="s">
        <v>11</v>
      </c>
      <c r="H167" s="69">
        <f>SUM(H159:H165)</f>
        <v>0</v>
      </c>
      <c r="I167" s="13"/>
    </row>
    <row r="168" spans="1:16" x14ac:dyDescent="0.2">
      <c r="A168" s="73"/>
      <c r="B168" s="74"/>
      <c r="C168" s="74"/>
      <c r="D168" s="13"/>
      <c r="E168" s="13"/>
      <c r="F168" s="13"/>
      <c r="G168" s="13"/>
      <c r="H168" s="13"/>
      <c r="I168" s="13"/>
    </row>
    <row r="169" spans="1:16" x14ac:dyDescent="0.2">
      <c r="A169" s="13"/>
      <c r="B169" s="13"/>
      <c r="C169" s="13"/>
      <c r="D169" s="13"/>
      <c r="E169" s="17"/>
      <c r="F169" s="13"/>
      <c r="G169" s="13"/>
      <c r="H169" s="13"/>
      <c r="I169" s="75"/>
      <c r="J169" s="10"/>
    </row>
    <row r="170" spans="1:16" x14ac:dyDescent="0.2">
      <c r="A170" s="13"/>
      <c r="B170" s="13" t="s">
        <v>23</v>
      </c>
      <c r="C170" s="13"/>
      <c r="D170" s="13"/>
      <c r="E170" s="17" t="s">
        <v>21</v>
      </c>
      <c r="F170" s="72">
        <v>20800</v>
      </c>
      <c r="G170" s="72"/>
      <c r="H170" s="72"/>
      <c r="I170" s="13"/>
    </row>
    <row r="171" spans="1:16" x14ac:dyDescent="0.2">
      <c r="A171" s="13"/>
      <c r="B171" s="67" t="s">
        <v>4</v>
      </c>
      <c r="C171" s="67" t="s">
        <v>7</v>
      </c>
      <c r="D171" s="67" t="s">
        <v>8</v>
      </c>
      <c r="E171" s="67" t="s">
        <v>65</v>
      </c>
      <c r="F171" s="67" t="s">
        <v>9</v>
      </c>
      <c r="G171" s="67" t="s">
        <v>64</v>
      </c>
      <c r="H171" s="67" t="s">
        <v>5</v>
      </c>
      <c r="I171" s="75"/>
      <c r="J171" s="10"/>
    </row>
    <row r="172" spans="1:16" x14ac:dyDescent="0.2">
      <c r="A172" s="13" t="s">
        <v>27</v>
      </c>
      <c r="B172" s="73">
        <v>0.1</v>
      </c>
      <c r="C172" s="68">
        <v>0</v>
      </c>
      <c r="D172" s="68">
        <v>14650</v>
      </c>
      <c r="E172" s="68">
        <f>IF($E$32="Head of household",IF($E$38&gt;D172,D172,$E$38),0)</f>
        <v>0</v>
      </c>
      <c r="F172" s="68">
        <f t="shared" ref="F172:F178" si="110">E172*B172</f>
        <v>0</v>
      </c>
      <c r="G172" s="68">
        <v>0</v>
      </c>
      <c r="H172" s="68">
        <v>0</v>
      </c>
      <c r="I172" s="13"/>
    </row>
    <row r="173" spans="1:16" x14ac:dyDescent="0.2">
      <c r="A173" s="13" t="s">
        <v>27</v>
      </c>
      <c r="B173" s="73">
        <v>0.12</v>
      </c>
      <c r="C173" s="68">
        <v>14651</v>
      </c>
      <c r="D173" s="68">
        <v>55900</v>
      </c>
      <c r="E173" s="68">
        <f>IF($E$32="Head of household",IF($E$38&gt;D173,(D173-D172),($E$38-E172)),0)</f>
        <v>0</v>
      </c>
      <c r="F173" s="68">
        <f t="shared" si="110"/>
        <v>0</v>
      </c>
      <c r="G173" s="68">
        <v>0</v>
      </c>
      <c r="H173" s="68">
        <v>0</v>
      </c>
      <c r="I173" s="13"/>
    </row>
    <row r="174" spans="1:16" x14ac:dyDescent="0.2">
      <c r="A174" s="13" t="s">
        <v>27</v>
      </c>
      <c r="B174" s="73">
        <v>0.22</v>
      </c>
      <c r="C174" s="68">
        <v>55901</v>
      </c>
      <c r="D174" s="68">
        <v>89050</v>
      </c>
      <c r="E174" s="68">
        <f>IF($E$32="Head of household",IF($E$38&gt;D174,(D174-D173),($E$38-E173-E172)),0)</f>
        <v>0</v>
      </c>
      <c r="F174" s="68">
        <f t="shared" si="110"/>
        <v>0</v>
      </c>
      <c r="G174" s="68">
        <v>0</v>
      </c>
      <c r="H174" s="68">
        <v>0</v>
      </c>
      <c r="I174" s="13"/>
    </row>
    <row r="175" spans="1:16" x14ac:dyDescent="0.2">
      <c r="A175" s="13" t="s">
        <v>27</v>
      </c>
      <c r="B175" s="73">
        <v>0.24</v>
      </c>
      <c r="C175" s="68">
        <v>89051</v>
      </c>
      <c r="D175" s="68">
        <v>170050</v>
      </c>
      <c r="E175" s="68">
        <f>IF($E$32="Head of household",IF($E$38&gt;D175,(D175-D174),($E$38-E174-E173-E172)),0)</f>
        <v>0</v>
      </c>
      <c r="F175" s="68">
        <f t="shared" si="110"/>
        <v>0</v>
      </c>
      <c r="G175" s="68">
        <v>0</v>
      </c>
      <c r="H175" s="68">
        <v>0</v>
      </c>
      <c r="I175" s="13"/>
    </row>
    <row r="176" spans="1:16" x14ac:dyDescent="0.2">
      <c r="A176" s="13" t="s">
        <v>27</v>
      </c>
      <c r="B176" s="73">
        <v>0.32</v>
      </c>
      <c r="C176" s="68">
        <v>170051</v>
      </c>
      <c r="D176" s="68">
        <v>215950</v>
      </c>
      <c r="E176" s="68">
        <f>IF($E$32="Head of household",IF($E$38&gt;D176,(D176-D175),($E$38-E175-E174-E173-E172)),0)</f>
        <v>0</v>
      </c>
      <c r="F176" s="68">
        <f t="shared" si="110"/>
        <v>0</v>
      </c>
      <c r="G176" s="68">
        <v>0</v>
      </c>
      <c r="H176" s="68">
        <v>0</v>
      </c>
      <c r="I176" s="13"/>
    </row>
    <row r="177" spans="1:9" x14ac:dyDescent="0.2">
      <c r="A177" s="13" t="s">
        <v>27</v>
      </c>
      <c r="B177" s="73">
        <v>0.35</v>
      </c>
      <c r="C177" s="68">
        <v>215951</v>
      </c>
      <c r="D177" s="68">
        <v>539900</v>
      </c>
      <c r="E177" s="68">
        <f>IF($E$32="Head of household",IF($E$38&gt;D177,(D177-D176),($E$38-E176-E175-E174-E173-E172)),0)</f>
        <v>0</v>
      </c>
      <c r="F177" s="68">
        <f t="shared" si="110"/>
        <v>0</v>
      </c>
      <c r="G177" s="68">
        <v>0</v>
      </c>
      <c r="H177" s="68">
        <v>0</v>
      </c>
      <c r="I177" s="13"/>
    </row>
    <row r="178" spans="1:9" x14ac:dyDescent="0.2">
      <c r="A178" s="13" t="s">
        <v>27</v>
      </c>
      <c r="B178" s="73">
        <v>0.37</v>
      </c>
      <c r="C178" s="68">
        <v>539901</v>
      </c>
      <c r="D178" s="68"/>
      <c r="E178" s="68">
        <f>IF($E$32="Head of household",IF($E$38&gt;D177,($E$38-D177),0),0)</f>
        <v>0</v>
      </c>
      <c r="F178" s="68">
        <f t="shared" si="110"/>
        <v>0</v>
      </c>
      <c r="G178" s="68">
        <v>0</v>
      </c>
      <c r="H178" s="68">
        <v>0</v>
      </c>
      <c r="I178" s="13"/>
    </row>
    <row r="179" spans="1:9" x14ac:dyDescent="0.2">
      <c r="A179" s="73"/>
      <c r="B179" s="13"/>
      <c r="C179" s="13"/>
      <c r="D179" s="13"/>
      <c r="E179" s="17"/>
      <c r="F179" s="13"/>
      <c r="G179" s="17"/>
      <c r="H179" s="13"/>
      <c r="I179" s="13"/>
    </row>
    <row r="180" spans="1:9" x14ac:dyDescent="0.2">
      <c r="A180" s="73"/>
      <c r="B180" s="13"/>
      <c r="C180" s="13"/>
      <c r="D180" s="13"/>
      <c r="E180" s="71" t="s">
        <v>11</v>
      </c>
      <c r="F180" s="69">
        <f>SUM(F172:F178)</f>
        <v>0</v>
      </c>
      <c r="G180" s="71" t="s">
        <v>11</v>
      </c>
      <c r="H180" s="69">
        <f>SUM(H172:H178)</f>
        <v>0</v>
      </c>
      <c r="I180" s="13"/>
    </row>
    <row r="181" spans="1:9" x14ac:dyDescent="0.2">
      <c r="A181" s="13"/>
      <c r="B181" s="13"/>
      <c r="C181" s="13"/>
      <c r="D181" s="13"/>
      <c r="E181" s="17"/>
      <c r="F181" s="13"/>
      <c r="G181" s="13"/>
      <c r="H181" s="13"/>
      <c r="I181" s="13"/>
    </row>
    <row r="182" spans="1:9" x14ac:dyDescent="0.2">
      <c r="A182" s="13"/>
      <c r="B182" s="13"/>
      <c r="C182" s="13"/>
      <c r="D182" s="13"/>
      <c r="E182" s="17"/>
      <c r="F182" s="13"/>
      <c r="G182" s="13"/>
      <c r="H182" s="13"/>
      <c r="I182" s="13"/>
    </row>
    <row r="183" spans="1:9" x14ac:dyDescent="0.2">
      <c r="A183" s="13"/>
      <c r="B183" s="13"/>
      <c r="C183" s="13"/>
      <c r="D183" s="13"/>
      <c r="E183" s="71" t="s">
        <v>28</v>
      </c>
      <c r="F183" s="75">
        <f>SUM(F180,F167,F154,F141)</f>
        <v>4665</v>
      </c>
      <c r="G183" s="69" t="s">
        <v>33</v>
      </c>
      <c r="H183" s="75">
        <f>SUM(H180,H167,H154,H141)</f>
        <v>0</v>
      </c>
      <c r="I183" s="13"/>
    </row>
    <row r="184" spans="1:9" x14ac:dyDescent="0.2">
      <c r="A184" s="13"/>
      <c r="B184" s="13"/>
      <c r="C184" s="13"/>
      <c r="D184" s="13"/>
      <c r="E184" s="17"/>
      <c r="F184" s="13"/>
      <c r="G184" s="76"/>
      <c r="H184" s="75"/>
      <c r="I184" s="13"/>
    </row>
  </sheetData>
  <mergeCells count="7">
    <mergeCell ref="H31:N31"/>
    <mergeCell ref="C49:E49"/>
    <mergeCell ref="F49:H49"/>
    <mergeCell ref="B7:E10"/>
    <mergeCell ref="J28:K28"/>
    <mergeCell ref="L28:M28"/>
    <mergeCell ref="H28:I28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A700F14-DC5E-2445-8BA8-53205A198202}">
          <x14:formula1>
            <xm:f>Data!$C$3:$C$6</xm:f>
          </x14:formula1>
          <xm:sqref>E32 E13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F3305-A734-C84F-A66A-8C779978C7BA}">
  <dimension ref="C3:D6"/>
  <sheetViews>
    <sheetView workbookViewId="0">
      <selection activeCell="D6" sqref="D6"/>
    </sheetView>
  </sheetViews>
  <sheetFormatPr baseColWidth="10" defaultColWidth="11" defaultRowHeight="16" x14ac:dyDescent="0.2"/>
  <cols>
    <col min="3" max="3" width="15.6640625" customWidth="1"/>
  </cols>
  <sheetData>
    <row r="3" spans="3:4" x14ac:dyDescent="0.2">
      <c r="C3" t="s">
        <v>24</v>
      </c>
      <c r="D3">
        <v>13850</v>
      </c>
    </row>
    <row r="4" spans="3:4" x14ac:dyDescent="0.2">
      <c r="C4" t="s">
        <v>25</v>
      </c>
      <c r="D4">
        <v>27700</v>
      </c>
    </row>
    <row r="5" spans="3:4" x14ac:dyDescent="0.2">
      <c r="C5" t="s">
        <v>26</v>
      </c>
      <c r="D5">
        <v>13850</v>
      </c>
    </row>
    <row r="6" spans="3:4" x14ac:dyDescent="0.2">
      <c r="C6" t="s">
        <v>27</v>
      </c>
      <c r="D6">
        <v>20800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Traditional 401k vs Roth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Sall</dc:creator>
  <cp:lastModifiedBy>Derek Sall</cp:lastModifiedBy>
  <dcterms:created xsi:type="dcterms:W3CDTF">2023-02-15T19:29:31Z</dcterms:created>
  <dcterms:modified xsi:type="dcterms:W3CDTF">2023-03-19T23:56:24Z</dcterms:modified>
</cp:coreProperties>
</file>